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各課専用\農村振興課\05 野生鳥獣担当\090 調査研究（生息動態調査・豊凶調査・下層植生調査・歯齢査定など）\01 生息動態調査\令和８年度（７補正分含む）\02 調査委託（ニホンジカ生息動態調査（糞塊））\01 入札起案\施行＋HP\HP\"/>
    </mc:Choice>
  </mc:AlternateContent>
  <xr:revisionPtr revIDLastSave="0" documentId="8_{EF0DCB26-E3CE-4C0E-877E-B75FFBC779D5}" xr6:coauthVersionLast="47" xr6:coauthVersionMax="47" xr10:uidLastSave="{00000000-0000-0000-0000-000000000000}"/>
  <bookViews>
    <workbookView xWindow="-110" yWindow="-110" windowWidth="19420" windowHeight="10300" xr2:uid="{A9FCE983-56F7-4F56-A9A9-6B3936CBE204}"/>
  </bookViews>
  <sheets>
    <sheet name="積算資料" sheetId="66" r:id="rId1"/>
    <sheet name="R5交付金事業計画" sheetId="56" state="hidden" r:id="rId2"/>
    <sheet name="単価" sheetId="52" state="hidden" r:id="rId3"/>
    <sheet name="ア【計画評価】【積算】②Ｒ5 予算書_シカ_1P" sheetId="57" state="hidden" r:id="rId4"/>
    <sheet name="ア【計画評価】②委託 _2P" sheetId="39" state="hidden" r:id="rId5"/>
    <sheet name="ア【計画評価】①事務費_2P" sheetId="53" state="hidden" r:id="rId6"/>
    <sheet name="ア【計画評価】③④事務費_2P" sheetId="37" state="hidden" r:id="rId7"/>
    <sheet name="イ【捕獲】舞鶴市神崎_3P" sheetId="22" state="hidden" r:id="rId8"/>
    <sheet name="イ【捕獲_諸雑費】舞鶴市神崎_添付しない" sheetId="34" state="hidden" r:id="rId9"/>
    <sheet name="イ【捕獲_事務費】舞鶴市神崎_4P" sheetId="29" state="hidden" r:id="rId10"/>
    <sheet name="ウ_【効果捕獲】府事務費_5P" sheetId="43" state="hidden" r:id="rId11"/>
    <sheet name="ウ_【効果捕獲】_6P" sheetId="41" state="hidden" r:id="rId12"/>
    <sheet name="ウ_【効果捕獲】諸雑費_添付しない" sheetId="42" state="hidden" r:id="rId13"/>
    <sheet name="カ_【ジビエ】捕獲_7P" sheetId="48" state="hidden" r:id="rId14"/>
    <sheet name="カ_【ジビエ】捕獲②" sheetId="46" state="hidden" r:id="rId15"/>
    <sheet name="カ_【ジビエ】捕獲府事務費 _8P" sheetId="47" state="hidden" r:id="rId16"/>
  </sheets>
  <definedNames>
    <definedName name="_xlnm.Print_Area" localSheetId="1">'R5交付金事業計画'!$A$1:$H$364</definedName>
    <definedName name="_xlnm.Print_Area" localSheetId="3">'ア【計画評価】【積算】②Ｒ5 予算書_シカ_1P'!$B$27:$I$50,'ア【計画評価】【積算】②Ｒ5 予算書_シカ_1P'!$B$1:$J$25</definedName>
    <definedName name="_xlnm.Print_Area" localSheetId="5">ア【計画評価】①事務費_2P!$A$1:$I$10</definedName>
    <definedName name="_xlnm.Print_Area" localSheetId="4">'ア【計画評価】②委託 _2P'!$A$1:$J$36</definedName>
    <definedName name="_xlnm.Print_Area" localSheetId="6">ア【計画評価】③④事務費_2P!$A$1:$I$10</definedName>
    <definedName name="_xlnm.Print_Area" localSheetId="9">イ【捕獲_事務費】舞鶴市神崎_4P!$A$1:$J$8</definedName>
    <definedName name="_xlnm.Print_Area" localSheetId="8">イ【捕獲_諸雑費】舞鶴市神崎_添付しない!$A$1:$I$21</definedName>
    <definedName name="_xlnm.Print_Area" localSheetId="7">イ【捕獲】舞鶴市神崎_3P!$A$1:$J$18</definedName>
    <definedName name="_xlnm.Print_Area" localSheetId="11">ウ_【効果捕獲】_6P!$A$1:$J$22</definedName>
    <definedName name="_xlnm.Print_Area" localSheetId="12">ウ_【効果捕獲】諸雑費_添付しない!$A$1:$J$22</definedName>
    <definedName name="_xlnm.Print_Area" localSheetId="10">ウ_【効果捕獲】府事務費_5P!$A$1:$I$9</definedName>
    <definedName name="_xlnm.Print_Area" localSheetId="13">カ_【ジビエ】捕獲_7P!$A$1:$I$16</definedName>
    <definedName name="_xlnm.Print_Area" localSheetId="14">カ_【ジビエ】捕獲②!$A$1:$I$17</definedName>
    <definedName name="_xlnm.Print_Area" localSheetId="15">'カ_【ジビエ】捕獲府事務費 _8P'!$A$1:$I$9</definedName>
    <definedName name="_xlnm.Print_Area" localSheetId="0">積算資料!$A$1:$N$35</definedName>
    <definedName name="_xlnm.Print_Area" localSheetId="2">単価!$A$1:$G$21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57" l="1"/>
  <c r="G41" i="57"/>
  <c r="G30" i="57"/>
  <c r="H8" i="48" l="1"/>
  <c r="H7" i="48"/>
  <c r="H6" i="48"/>
  <c r="H4" i="48"/>
  <c r="H13" i="41"/>
  <c r="H14" i="41" s="1"/>
  <c r="H12" i="41"/>
  <c r="E16" i="52"/>
  <c r="H26" i="39"/>
  <c r="H23" i="39"/>
  <c r="H20" i="39"/>
  <c r="H19" i="39"/>
  <c r="H18" i="39"/>
  <c r="H21" i="39"/>
  <c r="E4" i="39"/>
  <c r="H9" i="48" l="1"/>
  <c r="H10" i="48" s="1"/>
  <c r="F9" i="41"/>
  <c r="F8" i="41"/>
  <c r="D48" i="57"/>
  <c r="G48" i="57" s="1"/>
  <c r="D47" i="57"/>
  <c r="G47" i="57" s="1"/>
  <c r="D31" i="57"/>
  <c r="G31" i="57" s="1"/>
  <c r="G12" i="57" l="1"/>
  <c r="B16" i="42" l="1"/>
  <c r="B22" i="41"/>
  <c r="B21" i="41"/>
  <c r="B20" i="41"/>
  <c r="B15" i="34"/>
  <c r="B14" i="34"/>
  <c r="B17" i="22"/>
  <c r="B50" i="57"/>
  <c r="B23" i="57"/>
  <c r="D46" i="57"/>
  <c r="G46" i="57" s="1"/>
  <c r="D45" i="57"/>
  <c r="G45" i="57" s="1"/>
  <c r="B18" i="22"/>
  <c r="B33" i="39"/>
  <c r="D7" i="37" l="1"/>
  <c r="F11" i="57"/>
  <c r="F10" i="57"/>
  <c r="F9" i="57"/>
  <c r="F8" i="57"/>
  <c r="F7" i="57"/>
  <c r="F6" i="57"/>
  <c r="F5" i="57"/>
  <c r="I5" i="57" s="1"/>
  <c r="E6" i="29"/>
  <c r="E24" i="39" l="1"/>
  <c r="H24" i="39" s="1"/>
  <c r="E25" i="39"/>
  <c r="H25" i="39" s="1"/>
  <c r="E14" i="39"/>
  <c r="H14" i="39" s="1"/>
  <c r="E13" i="39"/>
  <c r="E12" i="39"/>
  <c r="H12" i="39" s="1"/>
  <c r="E11" i="39"/>
  <c r="E10" i="39"/>
  <c r="H10" i="39" s="1"/>
  <c r="E9" i="39"/>
  <c r="H9" i="39" s="1"/>
  <c r="E8" i="39"/>
  <c r="H8" i="39" s="1"/>
  <c r="E7" i="39"/>
  <c r="H7" i="39" s="1"/>
  <c r="E6" i="39"/>
  <c r="H6" i="39" s="1"/>
  <c r="E5" i="39"/>
  <c r="D7" i="43"/>
  <c r="H13" i="34"/>
  <c r="B20" i="22"/>
  <c r="E10" i="22" l="1"/>
  <c r="H10" i="22" s="1"/>
  <c r="I10" i="22"/>
  <c r="H27" i="39"/>
  <c r="L4" i="22"/>
  <c r="E7" i="22"/>
  <c r="E6" i="22"/>
  <c r="E5" i="22"/>
  <c r="E18" i="52"/>
  <c r="E5" i="29" s="1"/>
  <c r="H5" i="29" s="1"/>
  <c r="G7" i="47"/>
  <c r="H6" i="47"/>
  <c r="H5" i="47"/>
  <c r="E17" i="52"/>
  <c r="D6" i="47" s="1"/>
  <c r="D5" i="47"/>
  <c r="G5" i="47" s="1"/>
  <c r="G7" i="43"/>
  <c r="G7" i="42"/>
  <c r="G5" i="42"/>
  <c r="H6" i="43"/>
  <c r="H5" i="43"/>
  <c r="E15" i="52"/>
  <c r="D6" i="43" s="1"/>
  <c r="G6" i="43" s="1"/>
  <c r="E14" i="52"/>
  <c r="K17" i="41"/>
  <c r="I13" i="41" s="1"/>
  <c r="D5" i="43" l="1"/>
  <c r="G5" i="43" s="1"/>
  <c r="G8" i="43" s="1"/>
  <c r="H6" i="53"/>
  <c r="D6" i="53"/>
  <c r="G6" i="53" s="1"/>
  <c r="E9" i="41"/>
  <c r="H9" i="41" s="1"/>
  <c r="E8" i="41"/>
  <c r="H8" i="41" s="1"/>
  <c r="E7" i="41"/>
  <c r="H7" i="41" s="1"/>
  <c r="E6" i="41"/>
  <c r="H6" i="41" s="1"/>
  <c r="E5" i="41"/>
  <c r="H5" i="41" s="1"/>
  <c r="F7" i="52"/>
  <c r="H10" i="41" l="1"/>
  <c r="E10" i="41" s="1"/>
  <c r="M10" i="41"/>
  <c r="I10" i="41" s="1"/>
  <c r="H15" i="42"/>
  <c r="H14" i="42"/>
  <c r="D15" i="42"/>
  <c r="D14" i="42"/>
  <c r="H11" i="41" l="1"/>
  <c r="H15" i="41" s="1"/>
  <c r="J18" i="56"/>
  <c r="J19" i="56"/>
  <c r="J22" i="56"/>
  <c r="J24" i="56"/>
  <c r="J26" i="56"/>
  <c r="J27" i="56"/>
  <c r="J28" i="56"/>
  <c r="J32" i="56"/>
  <c r="J33" i="56"/>
  <c r="C14" i="42"/>
  <c r="G14" i="42" s="1"/>
  <c r="C15" i="42"/>
  <c r="D18" i="42" l="1"/>
  <c r="G15" i="42"/>
  <c r="D19" i="42" s="1"/>
  <c r="D20" i="42" s="1"/>
  <c r="D6" i="42" s="1"/>
  <c r="G6" i="42" s="1"/>
  <c r="H6" i="29"/>
  <c r="H11" i="48"/>
  <c r="H12" i="48" l="1"/>
  <c r="H13" i="48" s="1"/>
  <c r="H11" i="22" l="1"/>
  <c r="G7" i="37"/>
  <c r="D44" i="57" l="1"/>
  <c r="G44" i="57" s="1"/>
  <c r="D43" i="57"/>
  <c r="G43" i="57" s="1"/>
  <c r="G34" i="57"/>
  <c r="G33" i="57"/>
  <c r="G32" i="57"/>
  <c r="G35" i="57" l="1"/>
  <c r="G49" i="57"/>
  <c r="I11" i="57"/>
  <c r="I10" i="57"/>
  <c r="I9" i="57"/>
  <c r="I8" i="57"/>
  <c r="I7" i="57"/>
  <c r="I6" i="57"/>
  <c r="I12" i="57" l="1"/>
  <c r="I17" i="57" s="1"/>
  <c r="I13" i="57" l="1"/>
  <c r="I14" i="57" s="1"/>
  <c r="J15" i="57" l="1"/>
  <c r="I15" i="57"/>
  <c r="I16" i="57" s="1"/>
  <c r="I18" i="57" s="1"/>
  <c r="E53" i="57" s="1"/>
  <c r="F56" i="57" s="1"/>
  <c r="I19" i="57" s="1"/>
  <c r="E52" i="57" l="1"/>
  <c r="E56" i="57" s="1"/>
  <c r="E51" i="57" s="1"/>
  <c r="I20" i="57" l="1"/>
  <c r="I21" i="57" l="1"/>
  <c r="I22" i="57" l="1"/>
  <c r="I17" i="56" s="1"/>
  <c r="H18" i="48" l="1"/>
  <c r="L11" i="39" l="1"/>
  <c r="L10" i="39"/>
  <c r="L9" i="39"/>
  <c r="L8" i="39"/>
  <c r="L7" i="39"/>
  <c r="L6" i="22"/>
  <c r="L5" i="22"/>
  <c r="D13" i="34"/>
  <c r="D6" i="37"/>
  <c r="G6" i="37" s="1"/>
  <c r="G8" i="37" s="1"/>
  <c r="C13" i="34"/>
  <c r="G13" i="34" s="1"/>
  <c r="D18" i="34" s="1"/>
  <c r="H7" i="29"/>
  <c r="D17" i="34" l="1"/>
  <c r="D7" i="53"/>
  <c r="G7" i="53" s="1"/>
  <c r="G8" i="53" s="1"/>
  <c r="F9" i="22"/>
  <c r="D19" i="34" l="1"/>
  <c r="D5" i="34" s="1"/>
  <c r="G8" i="42"/>
  <c r="G5" i="34" l="1"/>
  <c r="G6" i="47" l="1"/>
  <c r="G8" i="47" s="1"/>
  <c r="I10" i="48" l="1"/>
  <c r="H5" i="48"/>
  <c r="H14" i="48" s="1"/>
  <c r="L6" i="48" l="1"/>
  <c r="I30" i="56"/>
  <c r="J30" i="56" s="1"/>
  <c r="L8" i="48"/>
  <c r="L7" i="48"/>
  <c r="I31" i="56"/>
  <c r="J31" i="56" s="1"/>
  <c r="D22" i="48" l="1"/>
  <c r="D25" i="48" s="1"/>
  <c r="H5" i="39"/>
  <c r="H19" i="48" l="1"/>
  <c r="D26" i="48"/>
  <c r="D20" i="48"/>
  <c r="H9" i="46"/>
  <c r="H8" i="46"/>
  <c r="H7" i="46"/>
  <c r="H5" i="46"/>
  <c r="H4" i="46"/>
  <c r="H10" i="46" l="1"/>
  <c r="H6" i="46"/>
  <c r="H11" i="46" l="1"/>
  <c r="H12" i="46" s="1"/>
  <c r="L6" i="46"/>
  <c r="L5" i="46"/>
  <c r="D23" i="46" l="1"/>
  <c r="D22" i="46" l="1"/>
  <c r="D26" i="46" s="1"/>
  <c r="L7" i="46" l="1"/>
  <c r="H13" i="46"/>
  <c r="D27" i="46"/>
  <c r="D21" i="46"/>
  <c r="H14" i="46" l="1"/>
  <c r="H15" i="46" s="1"/>
  <c r="L11" i="41" l="1"/>
  <c r="K8" i="41"/>
  <c r="E8" i="52" l="1"/>
  <c r="E7" i="52" s="1"/>
  <c r="D31" i="41"/>
  <c r="D30" i="41" s="1"/>
  <c r="L12" i="41"/>
  <c r="I16" i="41" l="1"/>
  <c r="H16" i="41"/>
  <c r="H17" i="41" s="1"/>
  <c r="E11" i="52"/>
  <c r="H30" i="41"/>
  <c r="D34" i="41"/>
  <c r="H18" i="41" l="1"/>
  <c r="H19" i="41" s="1"/>
  <c r="H31" i="41"/>
  <c r="H32" i="41"/>
  <c r="H17" i="39"/>
  <c r="H16" i="39"/>
  <c r="H15" i="39"/>
  <c r="H4" i="39" l="1"/>
  <c r="H13" i="39"/>
  <c r="H11" i="39"/>
  <c r="I21" i="39" l="1"/>
  <c r="H22" i="39"/>
  <c r="H28" i="39" s="1"/>
  <c r="H29" i="39" s="1"/>
  <c r="L24" i="39"/>
  <c r="L25" i="39"/>
  <c r="K4" i="39"/>
  <c r="L26" i="39"/>
  <c r="L27" i="39" l="1"/>
  <c r="M26" i="39" s="1"/>
  <c r="G6" i="34"/>
  <c r="G7" i="34" s="1"/>
  <c r="H5" i="22"/>
  <c r="H6" i="22"/>
  <c r="H7" i="22"/>
  <c r="I8" i="22" s="1"/>
  <c r="H8" i="22" l="1"/>
  <c r="L9" i="22"/>
  <c r="H9" i="22"/>
  <c r="H12" i="22" s="1"/>
  <c r="H13" i="22" s="1"/>
  <c r="N7" i="22"/>
  <c r="H30" i="39"/>
  <c r="C42" i="39"/>
  <c r="L28" i="39" l="1"/>
  <c r="H14" i="22"/>
  <c r="H15" i="22" s="1"/>
  <c r="H16" i="22" s="1"/>
  <c r="I21" i="56" s="1"/>
  <c r="I20" i="56" s="1"/>
  <c r="C41" i="39"/>
  <c r="L10" i="22" l="1"/>
  <c r="C45" i="39"/>
  <c r="C40" i="39" l="1"/>
  <c r="H31" i="39" l="1"/>
  <c r="H32" i="39" s="1"/>
  <c r="I16" i="56" l="1"/>
  <c r="I15" i="56" s="1"/>
  <c r="L29" i="39"/>
  <c r="L30" i="39"/>
  <c r="J17" i="56" l="1"/>
  <c r="C46" i="39"/>
  <c r="D27" i="22"/>
  <c r="J15" i="56" l="1"/>
  <c r="J16" i="56"/>
  <c r="N9" i="22"/>
  <c r="D26" i="22"/>
  <c r="D30" i="22" s="1"/>
  <c r="D25" i="22" s="1"/>
  <c r="D31" i="22"/>
  <c r="J20" i="56" l="1"/>
  <c r="J21" i="56"/>
  <c r="H20" i="48"/>
  <c r="H21" i="48" s="1"/>
  <c r="I29" i="56" l="1"/>
  <c r="J29" i="56" s="1"/>
  <c r="D29" i="41" l="1"/>
  <c r="L13" i="41"/>
  <c r="L14" i="41"/>
  <c r="L15" i="41" l="1"/>
  <c r="I25" i="56" l="1"/>
  <c r="L16" i="41" l="1"/>
  <c r="J25" i="56" l="1"/>
  <c r="I23" i="56"/>
  <c r="J23" i="56" s="1"/>
  <c r="I34" i="56" l="1"/>
  <c r="J34" i="56" s="1"/>
  <c r="I15" i="66"/>
  <c r="L30" i="66" l="1"/>
  <c r="L31" i="66" s="1"/>
</calcChain>
</file>

<file path=xl/sharedStrings.xml><?xml version="1.0" encoding="utf-8"?>
<sst xmlns="http://schemas.openxmlformats.org/spreadsheetml/2006/main" count="1080" uniqueCount="578">
  <si>
    <t>区分</t>
    <rPh sb="0" eb="2">
      <t>クブン</t>
    </rPh>
    <phoneticPr fontId="7"/>
  </si>
  <si>
    <t>摘要</t>
    <rPh sb="0" eb="2">
      <t>テキヨウ</t>
    </rPh>
    <phoneticPr fontId="7"/>
  </si>
  <si>
    <t>単価（円）</t>
    <rPh sb="0" eb="2">
      <t>タンカ</t>
    </rPh>
    <rPh sb="3" eb="4">
      <t>エン</t>
    </rPh>
    <phoneticPr fontId="7"/>
  </si>
  <si>
    <t>数量</t>
    <rPh sb="0" eb="2">
      <t>スウリョウ</t>
    </rPh>
    <phoneticPr fontId="7"/>
  </si>
  <si>
    <t>単位</t>
    <rPh sb="0" eb="2">
      <t>タンイ</t>
    </rPh>
    <phoneticPr fontId="7"/>
  </si>
  <si>
    <t>金額（円）</t>
    <rPh sb="0" eb="2">
      <t>キンガク</t>
    </rPh>
    <rPh sb="3" eb="4">
      <t>エン</t>
    </rPh>
    <phoneticPr fontId="7"/>
  </si>
  <si>
    <t>備考</t>
    <rPh sb="0" eb="2">
      <t>ビコウ</t>
    </rPh>
    <phoneticPr fontId="7"/>
  </si>
  <si>
    <t>技術員</t>
    <rPh sb="0" eb="3">
      <t>ギジュツイン</t>
    </rPh>
    <phoneticPr fontId="7"/>
  </si>
  <si>
    <t>技師A</t>
    <rPh sb="0" eb="2">
      <t>ギシ</t>
    </rPh>
    <phoneticPr fontId="7"/>
  </si>
  <si>
    <t>技師C</t>
    <rPh sb="0" eb="2">
      <t>ギシ</t>
    </rPh>
    <phoneticPr fontId="7"/>
  </si>
  <si>
    <t>小計</t>
    <rPh sb="0" eb="2">
      <t>ショウケイ</t>
    </rPh>
    <phoneticPr fontId="7"/>
  </si>
  <si>
    <t>人日</t>
    <rPh sb="0" eb="1">
      <t>ニン</t>
    </rPh>
    <rPh sb="1" eb="2">
      <t>ニチ</t>
    </rPh>
    <phoneticPr fontId="7"/>
  </si>
  <si>
    <t>諸経費</t>
    <rPh sb="0" eb="3">
      <t>ショケイヒ</t>
    </rPh>
    <phoneticPr fontId="7"/>
  </si>
  <si>
    <t>消費税</t>
    <rPh sb="0" eb="3">
      <t>ショウヒゼイ</t>
    </rPh>
    <phoneticPr fontId="7"/>
  </si>
  <si>
    <t>率内か？</t>
    <rPh sb="0" eb="1">
      <t>リツ</t>
    </rPh>
    <rPh sb="1" eb="2">
      <t>ナイ</t>
    </rPh>
    <phoneticPr fontId="7"/>
  </si>
  <si>
    <t>諸経費率=</t>
    <rPh sb="0" eb="3">
      <t>ショケイヒ</t>
    </rPh>
    <rPh sb="3" eb="4">
      <t>リツ</t>
    </rPh>
    <phoneticPr fontId="7"/>
  </si>
  <si>
    <t>円</t>
    <rPh sb="0" eb="1">
      <t>エン</t>
    </rPh>
    <phoneticPr fontId="7"/>
  </si>
  <si>
    <t>純調査費</t>
    <rPh sb="0" eb="1">
      <t>ジュン</t>
    </rPh>
    <rPh sb="1" eb="4">
      <t>チョウサヒ</t>
    </rPh>
    <phoneticPr fontId="7"/>
  </si>
  <si>
    <t>右金額の範囲内</t>
    <rPh sb="0" eb="1">
      <t>ミギ</t>
    </rPh>
    <rPh sb="1" eb="3">
      <t>キンガク</t>
    </rPh>
    <rPh sb="4" eb="7">
      <t>ハンイナイ</t>
    </rPh>
    <phoneticPr fontId="7"/>
  </si>
  <si>
    <t>率</t>
    <rPh sb="0" eb="1">
      <t>リツ</t>
    </rPh>
    <phoneticPr fontId="7"/>
  </si>
  <si>
    <t>総計</t>
    <rPh sb="0" eb="2">
      <t>ソウケイ</t>
    </rPh>
    <phoneticPr fontId="7"/>
  </si>
  <si>
    <t>台</t>
    <rPh sb="0" eb="1">
      <t>ダイ</t>
    </rPh>
    <phoneticPr fontId="7"/>
  </si>
  <si>
    <t>回</t>
    <rPh sb="0" eb="1">
      <t>カイ</t>
    </rPh>
    <phoneticPr fontId="7"/>
  </si>
  <si>
    <t>事前調査</t>
    <rPh sb="0" eb="2">
      <t>ジゼン</t>
    </rPh>
    <rPh sb="2" eb="4">
      <t>チョウサ</t>
    </rPh>
    <phoneticPr fontId="7"/>
  </si>
  <si>
    <t>合計</t>
    <rPh sb="0" eb="2">
      <t>ゴウケイ</t>
    </rPh>
    <phoneticPr fontId="7"/>
  </si>
  <si>
    <t>諸雑費</t>
    <rPh sb="0" eb="3">
      <t>ショザッピ</t>
    </rPh>
    <phoneticPr fontId="7"/>
  </si>
  <si>
    <t>事業管理責任者</t>
    <rPh sb="0" eb="2">
      <t>ジギョウ</t>
    </rPh>
    <rPh sb="2" eb="4">
      <t>カンリ</t>
    </rPh>
    <rPh sb="4" eb="7">
      <t>セキニンシャ</t>
    </rPh>
    <phoneticPr fontId="7"/>
  </si>
  <si>
    <t>捕獲者</t>
    <rPh sb="0" eb="3">
      <t>ホカクシャ</t>
    </rPh>
    <phoneticPr fontId="7"/>
  </si>
  <si>
    <t>捕獲作業（銃）</t>
    <rPh sb="0" eb="2">
      <t>ホカク</t>
    </rPh>
    <rPh sb="2" eb="4">
      <t>サギョウ</t>
    </rPh>
    <rPh sb="5" eb="6">
      <t>ジュウ</t>
    </rPh>
    <phoneticPr fontId="7"/>
  </si>
  <si>
    <t>犬</t>
    <rPh sb="0" eb="1">
      <t>イヌ</t>
    </rPh>
    <phoneticPr fontId="7"/>
  </si>
  <si>
    <t>頭日</t>
    <rPh sb="0" eb="1">
      <t>トウ</t>
    </rPh>
    <rPh sb="1" eb="2">
      <t>ニチ</t>
    </rPh>
    <phoneticPr fontId="7"/>
  </si>
  <si>
    <t>％</t>
    <phoneticPr fontId="7"/>
  </si>
  <si>
    <t>変数値Ａ</t>
    <rPh sb="0" eb="2">
      <t>ヘンスウ</t>
    </rPh>
    <rPh sb="2" eb="3">
      <t>チ</t>
    </rPh>
    <phoneticPr fontId="7"/>
  </si>
  <si>
    <t>変数値ｂ</t>
    <rPh sb="0" eb="2">
      <t>ヘンスウ</t>
    </rPh>
    <rPh sb="2" eb="3">
      <t>チ</t>
    </rPh>
    <phoneticPr fontId="7"/>
  </si>
  <si>
    <t>人回</t>
    <rPh sb="0" eb="1">
      <t>ニン</t>
    </rPh>
    <rPh sb="1" eb="2">
      <t>カイ</t>
    </rPh>
    <phoneticPr fontId="7"/>
  </si>
  <si>
    <t>事前調査</t>
    <rPh sb="0" eb="2">
      <t>ジゼン</t>
    </rPh>
    <rPh sb="2" eb="4">
      <t>チョウサ</t>
    </rPh>
    <phoneticPr fontId="7"/>
  </si>
  <si>
    <t>項目</t>
    <rPh sb="0" eb="2">
      <t>コウモク</t>
    </rPh>
    <phoneticPr fontId="7"/>
  </si>
  <si>
    <t>純調査費（人件費＋直接経費）</t>
    <rPh sb="0" eb="1">
      <t>ジュン</t>
    </rPh>
    <rPh sb="1" eb="4">
      <t>チョウサヒ</t>
    </rPh>
    <rPh sb="5" eb="8">
      <t>ジンケンヒ</t>
    </rPh>
    <rPh sb="9" eb="11">
      <t>チョクセツ</t>
    </rPh>
    <rPh sb="11" eb="13">
      <t>ケイヒ</t>
    </rPh>
    <phoneticPr fontId="7"/>
  </si>
  <si>
    <t>項目ごとの経費</t>
    <rPh sb="0" eb="2">
      <t>コウモク</t>
    </rPh>
    <rPh sb="5" eb="7">
      <t>ケイヒ</t>
    </rPh>
    <phoneticPr fontId="7"/>
  </si>
  <si>
    <t>地元説明等
（現地確認含む）</t>
    <rPh sb="0" eb="2">
      <t>ジモト</t>
    </rPh>
    <rPh sb="2" eb="4">
      <t>セツメイ</t>
    </rPh>
    <rPh sb="4" eb="5">
      <t>ナド</t>
    </rPh>
    <rPh sb="9" eb="11">
      <t>カクニン</t>
    </rPh>
    <phoneticPr fontId="7"/>
  </si>
  <si>
    <t>調査項目</t>
    <rPh sb="0" eb="2">
      <t>チョウサ</t>
    </rPh>
    <rPh sb="2" eb="4">
      <t>コウモク</t>
    </rPh>
    <phoneticPr fontId="7"/>
  </si>
  <si>
    <t>移動経費</t>
    <rPh sb="0" eb="2">
      <t>イドウ</t>
    </rPh>
    <rPh sb="2" eb="4">
      <t>ケイヒ</t>
    </rPh>
    <phoneticPr fontId="7"/>
  </si>
  <si>
    <t>捕獲個体処分費</t>
    <rPh sb="0" eb="2">
      <t>ホカク</t>
    </rPh>
    <rPh sb="2" eb="4">
      <t>コタイ</t>
    </rPh>
    <rPh sb="4" eb="7">
      <t>ショブンヒ</t>
    </rPh>
    <phoneticPr fontId="7"/>
  </si>
  <si>
    <t>頭</t>
    <rPh sb="0" eb="1">
      <t>トウ</t>
    </rPh>
    <phoneticPr fontId="7"/>
  </si>
  <si>
    <t>【備考】</t>
    <rPh sb="1" eb="3">
      <t>ビコウ</t>
    </rPh>
    <phoneticPr fontId="7"/>
  </si>
  <si>
    <t>燃費</t>
    <rPh sb="0" eb="2">
      <t>ネンピ</t>
    </rPh>
    <phoneticPr fontId="7"/>
  </si>
  <si>
    <t>時速</t>
    <rPh sb="0" eb="2">
      <t>ジソク</t>
    </rPh>
    <phoneticPr fontId="7"/>
  </si>
  <si>
    <t>必要時間</t>
    <rPh sb="0" eb="2">
      <t>ヒツヨウ</t>
    </rPh>
    <rPh sb="2" eb="4">
      <t>ジカン</t>
    </rPh>
    <phoneticPr fontId="7"/>
  </si>
  <si>
    <t>㎞／㍑</t>
    <phoneticPr fontId="7"/>
  </si>
  <si>
    <t>㎞／h</t>
    <phoneticPr fontId="7"/>
  </si>
  <si>
    <t>h</t>
    <phoneticPr fontId="7"/>
  </si>
  <si>
    <t>経費（円）</t>
    <phoneticPr fontId="7"/>
  </si>
  <si>
    <t>機械損料</t>
    <rPh sb="0" eb="2">
      <t>キカイ</t>
    </rPh>
    <rPh sb="2" eb="4">
      <t>ソンリョウ</t>
    </rPh>
    <phoneticPr fontId="7"/>
  </si>
  <si>
    <t>合計（単価）</t>
    <rPh sb="0" eb="2">
      <t>ゴウケイ</t>
    </rPh>
    <rPh sb="3" eb="5">
      <t>タンカ</t>
    </rPh>
    <phoneticPr fontId="7"/>
  </si>
  <si>
    <t>捕獲作業（銃猟）</t>
    <rPh sb="5" eb="7">
      <t>ジュウリョウ</t>
    </rPh>
    <phoneticPr fontId="7"/>
  </si>
  <si>
    <t>銃弾</t>
    <rPh sb="0" eb="2">
      <t>ジュウダン</t>
    </rPh>
    <phoneticPr fontId="7"/>
  </si>
  <si>
    <t>◇銃猟</t>
    <rPh sb="1" eb="2">
      <t>ジュウ</t>
    </rPh>
    <rPh sb="2" eb="3">
      <t>リョウ</t>
    </rPh>
    <phoneticPr fontId="7"/>
  </si>
  <si>
    <t>移動経費単価の算出（銃猟）</t>
    <rPh sb="0" eb="2">
      <t>イドウ</t>
    </rPh>
    <rPh sb="2" eb="4">
      <t>ケイヒ</t>
    </rPh>
    <rPh sb="4" eb="6">
      <t>タンカ</t>
    </rPh>
    <rPh sb="7" eb="9">
      <t>サンシュツ</t>
    </rPh>
    <rPh sb="10" eb="12">
      <t>ジュウリョウ</t>
    </rPh>
    <phoneticPr fontId="7"/>
  </si>
  <si>
    <t>ガソリン</t>
    <phoneticPr fontId="7"/>
  </si>
  <si>
    <t>技術員</t>
    <rPh sb="0" eb="3">
      <t>ギジュツイン</t>
    </rPh>
    <phoneticPr fontId="7"/>
  </si>
  <si>
    <t>捕獲者（銃）</t>
    <rPh sb="0" eb="3">
      <t>ホカクシャ</t>
    </rPh>
    <rPh sb="4" eb="5">
      <t>ジュウ</t>
    </rPh>
    <phoneticPr fontId="7"/>
  </si>
  <si>
    <t>小計</t>
    <rPh sb="0" eb="2">
      <t>ショウケイ</t>
    </rPh>
    <phoneticPr fontId="7"/>
  </si>
  <si>
    <t>諸経費＋
消費税</t>
    <rPh sb="0" eb="3">
      <t>ショケイヒ</t>
    </rPh>
    <rPh sb="5" eb="8">
      <t>ショウヒゼイ</t>
    </rPh>
    <phoneticPr fontId="7"/>
  </si>
  <si>
    <t>指定管理鳥獣捕獲等事業（府事務費）</t>
    <rPh sb="0" eb="9">
      <t>シテイカンリチョウジュウホカクナド</t>
    </rPh>
    <rPh sb="12" eb="13">
      <t>フ</t>
    </rPh>
    <rPh sb="13" eb="16">
      <t>ジムヒ</t>
    </rPh>
    <phoneticPr fontId="7"/>
  </si>
  <si>
    <t>地元調整等</t>
    <rPh sb="0" eb="2">
      <t>ジモト</t>
    </rPh>
    <rPh sb="2" eb="4">
      <t>チョウセイ</t>
    </rPh>
    <rPh sb="4" eb="5">
      <t>ナド</t>
    </rPh>
    <phoneticPr fontId="7"/>
  </si>
  <si>
    <t>箱</t>
    <rPh sb="0" eb="1">
      <t>ハコ</t>
    </rPh>
    <phoneticPr fontId="7"/>
  </si>
  <si>
    <t>式</t>
    <rPh sb="0" eb="1">
      <t>シキ</t>
    </rPh>
    <phoneticPr fontId="7"/>
  </si>
  <si>
    <t>交通費、地元説明費用</t>
    <rPh sb="0" eb="3">
      <t>コウツウヒ</t>
    </rPh>
    <rPh sb="4" eb="6">
      <t>ジモト</t>
    </rPh>
    <rPh sb="6" eb="8">
      <t>セツメイ</t>
    </rPh>
    <rPh sb="8" eb="10">
      <t>ヒヨウ</t>
    </rPh>
    <phoneticPr fontId="7"/>
  </si>
  <si>
    <t>人</t>
    <rPh sb="0" eb="1">
      <t>ニン</t>
    </rPh>
    <phoneticPr fontId="7"/>
  </si>
  <si>
    <t>テキスト代</t>
    <rPh sb="4" eb="5">
      <t>ダイ</t>
    </rPh>
    <phoneticPr fontId="7"/>
  </si>
  <si>
    <t>会場使用料</t>
    <rPh sb="0" eb="2">
      <t>カイジョウ</t>
    </rPh>
    <rPh sb="2" eb="5">
      <t>シヨウリョウ</t>
    </rPh>
    <phoneticPr fontId="7"/>
  </si>
  <si>
    <t>直接経費</t>
    <rPh sb="0" eb="2">
      <t>チョクセツ</t>
    </rPh>
    <rPh sb="2" eb="4">
      <t>ケイヒ</t>
    </rPh>
    <phoneticPr fontId="7"/>
  </si>
  <si>
    <t>指定管理鳥獣捕獲等事業実施計画策定等事業（委託）</t>
    <rPh sb="21" eb="23">
      <t>イタク</t>
    </rPh>
    <phoneticPr fontId="7"/>
  </si>
  <si>
    <t>技師Ｂ</t>
    <rPh sb="0" eb="2">
      <t>ギシ</t>
    </rPh>
    <phoneticPr fontId="7"/>
  </si>
  <si>
    <t>報告書作成</t>
    <rPh sb="0" eb="3">
      <t>ホウコクショ</t>
    </rPh>
    <rPh sb="3" eb="5">
      <t>サクセイ</t>
    </rPh>
    <phoneticPr fontId="7"/>
  </si>
  <si>
    <t>直接経費</t>
    <phoneticPr fontId="7"/>
  </si>
  <si>
    <t>台日</t>
    <rPh sb="0" eb="1">
      <t>ダイ</t>
    </rPh>
    <rPh sb="1" eb="2">
      <t>ニチ</t>
    </rPh>
    <phoneticPr fontId="7"/>
  </si>
  <si>
    <t>交通費（高速代）</t>
    <rPh sb="0" eb="3">
      <t>コウツウヒ</t>
    </rPh>
    <rPh sb="4" eb="7">
      <t>コウソクダイ</t>
    </rPh>
    <phoneticPr fontId="7"/>
  </si>
  <si>
    <t>往復</t>
    <rPh sb="0" eb="2">
      <t>オウフク</t>
    </rPh>
    <phoneticPr fontId="7"/>
  </si>
  <si>
    <t>燃料費</t>
    <rPh sb="0" eb="3">
      <t>ネンリョウヒ</t>
    </rPh>
    <phoneticPr fontId="7"/>
  </si>
  <si>
    <t>センサーカメラ調査</t>
    <rPh sb="7" eb="9">
      <t>チョウサ</t>
    </rPh>
    <phoneticPr fontId="7"/>
  </si>
  <si>
    <t>センサーカメラ・剥皮被害調査</t>
    <rPh sb="8" eb="9">
      <t>ハク</t>
    </rPh>
    <rPh sb="9" eb="10">
      <t>ヒ</t>
    </rPh>
    <rPh sb="10" eb="12">
      <t>ヒガイ</t>
    </rPh>
    <rPh sb="12" eb="14">
      <t>チョウサ</t>
    </rPh>
    <phoneticPr fontId="7"/>
  </si>
  <si>
    <t>評価・策定資料、会議資料、報告書作成</t>
    <rPh sb="0" eb="2">
      <t>ヒョウカ</t>
    </rPh>
    <rPh sb="3" eb="5">
      <t>サクテイ</t>
    </rPh>
    <rPh sb="5" eb="7">
      <t>シリョウ</t>
    </rPh>
    <rPh sb="8" eb="10">
      <t>カイギ</t>
    </rPh>
    <rPh sb="10" eb="12">
      <t>シリョウ</t>
    </rPh>
    <rPh sb="13" eb="16">
      <t>ホウコクショ</t>
    </rPh>
    <rPh sb="16" eb="18">
      <t>サクセイ</t>
    </rPh>
    <phoneticPr fontId="7"/>
  </si>
  <si>
    <t>事前調査設計</t>
    <rPh sb="0" eb="2">
      <t>ジゼン</t>
    </rPh>
    <rPh sb="2" eb="4">
      <t>チョウサ</t>
    </rPh>
    <rPh sb="4" eb="6">
      <t>セッケイ</t>
    </rPh>
    <phoneticPr fontId="7"/>
  </si>
  <si>
    <t>センサーカメラ調査
剥皮被害調査</t>
    <rPh sb="7" eb="9">
      <t>チョウサ</t>
    </rPh>
    <rPh sb="10" eb="11">
      <t>ハク</t>
    </rPh>
    <rPh sb="11" eb="12">
      <t>ヒ</t>
    </rPh>
    <rPh sb="12" eb="14">
      <t>ヒガイ</t>
    </rPh>
    <rPh sb="14" eb="16">
      <t>チョウサ</t>
    </rPh>
    <phoneticPr fontId="7"/>
  </si>
  <si>
    <t>宿泊費</t>
    <rPh sb="0" eb="3">
      <t>シュクハクヒ</t>
    </rPh>
    <phoneticPr fontId="7"/>
  </si>
  <si>
    <t>車両借り上げ</t>
    <rPh sb="0" eb="2">
      <t>シャリョウ</t>
    </rPh>
    <rPh sb="2" eb="3">
      <t>カ</t>
    </rPh>
    <rPh sb="4" eb="5">
      <t>ア</t>
    </rPh>
    <phoneticPr fontId="7"/>
  </si>
  <si>
    <t>台日</t>
    <rPh sb="0" eb="2">
      <t>ダイニチ</t>
    </rPh>
    <phoneticPr fontId="7"/>
  </si>
  <si>
    <t>式</t>
    <rPh sb="0" eb="1">
      <t>シキ</t>
    </rPh>
    <phoneticPr fontId="7"/>
  </si>
  <si>
    <t>電池代</t>
    <rPh sb="0" eb="2">
      <t>デンチ</t>
    </rPh>
    <rPh sb="2" eb="3">
      <t>ダイ</t>
    </rPh>
    <phoneticPr fontId="7"/>
  </si>
  <si>
    <t>パソコン使用料</t>
    <rPh sb="4" eb="7">
      <t>シヨウリョウ</t>
    </rPh>
    <phoneticPr fontId="7"/>
  </si>
  <si>
    <t>GIS機器損料</t>
    <rPh sb="3" eb="5">
      <t>キキ</t>
    </rPh>
    <rPh sb="5" eb="7">
      <t>ソンリョウ</t>
    </rPh>
    <phoneticPr fontId="7"/>
  </si>
  <si>
    <t>センサーカメラ使用料</t>
    <rPh sb="7" eb="10">
      <t>シヨウリョウ</t>
    </rPh>
    <phoneticPr fontId="7"/>
  </si>
  <si>
    <t>業務無線使用料</t>
    <rPh sb="0" eb="2">
      <t>ギョウム</t>
    </rPh>
    <rPh sb="2" eb="4">
      <t>ムセン</t>
    </rPh>
    <rPh sb="4" eb="7">
      <t>シヨウリョウ</t>
    </rPh>
    <phoneticPr fontId="7"/>
  </si>
  <si>
    <t>ハンディGPS使用料</t>
    <rPh sb="7" eb="10">
      <t>シヨウリョウ</t>
    </rPh>
    <phoneticPr fontId="7"/>
  </si>
  <si>
    <t>台</t>
    <rPh sb="0" eb="1">
      <t>ダイ</t>
    </rPh>
    <phoneticPr fontId="7"/>
  </si>
  <si>
    <t>機械経費</t>
    <rPh sb="0" eb="2">
      <t>キカイ</t>
    </rPh>
    <rPh sb="2" eb="4">
      <t>ケイヒ</t>
    </rPh>
    <phoneticPr fontId="7"/>
  </si>
  <si>
    <t>直接調査費　小計</t>
    <rPh sb="0" eb="2">
      <t>チョクセツ</t>
    </rPh>
    <rPh sb="2" eb="4">
      <t>チョウサ</t>
    </rPh>
    <rPh sb="4" eb="5">
      <t>ヒ</t>
    </rPh>
    <rPh sb="6" eb="8">
      <t>ショウケイ</t>
    </rPh>
    <phoneticPr fontId="7"/>
  </si>
  <si>
    <t>間接調査費　小計</t>
    <rPh sb="0" eb="2">
      <t>カンセツ</t>
    </rPh>
    <rPh sb="2" eb="5">
      <t>チョウサヒ</t>
    </rPh>
    <rPh sb="6" eb="8">
      <t>ショウケイ</t>
    </rPh>
    <phoneticPr fontId="7"/>
  </si>
  <si>
    <t>雑費等</t>
    <rPh sb="0" eb="2">
      <t>ザッピ</t>
    </rPh>
    <rPh sb="2" eb="3">
      <t>トウ</t>
    </rPh>
    <phoneticPr fontId="7"/>
  </si>
  <si>
    <t>旅費交通費等</t>
    <rPh sb="0" eb="2">
      <t>リョヒ</t>
    </rPh>
    <rPh sb="2" eb="5">
      <t>コウツウヒ</t>
    </rPh>
    <rPh sb="5" eb="6">
      <t>トウ</t>
    </rPh>
    <phoneticPr fontId="7"/>
  </si>
  <si>
    <t>2名×4泊</t>
    <rPh sb="1" eb="2">
      <t>メイ</t>
    </rPh>
    <rPh sb="4" eb="5">
      <t>ハク</t>
    </rPh>
    <phoneticPr fontId="7"/>
  </si>
  <si>
    <t>純調査費（直接調査費＋間接調査費）</t>
    <rPh sb="0" eb="1">
      <t>ジュン</t>
    </rPh>
    <rPh sb="1" eb="4">
      <t>チョウサヒ</t>
    </rPh>
    <rPh sb="5" eb="7">
      <t>チョクセツ</t>
    </rPh>
    <rPh sb="7" eb="9">
      <t>チョウサ</t>
    </rPh>
    <rPh sb="9" eb="10">
      <t>ヒ</t>
    </rPh>
    <rPh sb="11" eb="13">
      <t>カンセツ</t>
    </rPh>
    <rPh sb="13" eb="15">
      <t>チョウサ</t>
    </rPh>
    <rPh sb="15" eb="16">
      <t>ヒ</t>
    </rPh>
    <phoneticPr fontId="7"/>
  </si>
  <si>
    <t>情報収集</t>
    <rPh sb="0" eb="2">
      <t>ジョウホウ</t>
    </rPh>
    <rPh sb="2" eb="4">
      <t>シュウシュウ</t>
    </rPh>
    <phoneticPr fontId="7"/>
  </si>
  <si>
    <t>人</t>
    <rPh sb="0" eb="1">
      <t>ニン</t>
    </rPh>
    <phoneticPr fontId="7"/>
  </si>
  <si>
    <t>東京</t>
    <rPh sb="0" eb="2">
      <t>トウキョウ</t>
    </rPh>
    <phoneticPr fontId="7"/>
  </si>
  <si>
    <t>L</t>
    <phoneticPr fontId="7"/>
  </si>
  <si>
    <t>捕獲・被害情報調査</t>
    <rPh sb="0" eb="2">
      <t>ホカク</t>
    </rPh>
    <rPh sb="3" eb="5">
      <t>ヒガイ</t>
    </rPh>
    <rPh sb="5" eb="7">
      <t>ジョウホウ</t>
    </rPh>
    <rPh sb="7" eb="9">
      <t>チョウサ</t>
    </rPh>
    <phoneticPr fontId="7"/>
  </si>
  <si>
    <t>保安員・記録、わな見回り</t>
    <rPh sb="0" eb="3">
      <t>ホアンイン</t>
    </rPh>
    <rPh sb="4" eb="6">
      <t>キロク</t>
    </rPh>
    <rPh sb="9" eb="11">
      <t>ミマワ</t>
    </rPh>
    <phoneticPr fontId="7"/>
  </si>
  <si>
    <t>諸経費（直接経費を除く）</t>
    <rPh sb="0" eb="3">
      <t>ショケイヒ</t>
    </rPh>
    <rPh sb="4" eb="6">
      <t>チョクセツ</t>
    </rPh>
    <rPh sb="6" eb="8">
      <t>ケイヒ</t>
    </rPh>
    <rPh sb="9" eb="10">
      <t>ノゾ</t>
    </rPh>
    <phoneticPr fontId="7"/>
  </si>
  <si>
    <t>％</t>
    <phoneticPr fontId="7"/>
  </si>
  <si>
    <t>㎞（往復）</t>
    <rPh sb="2" eb="4">
      <t>オウフク</t>
    </rPh>
    <phoneticPr fontId="7"/>
  </si>
  <si>
    <t>㎞／㍑</t>
    <phoneticPr fontId="7"/>
  </si>
  <si>
    <t>㎞／h</t>
    <phoneticPr fontId="7"/>
  </si>
  <si>
    <t>h</t>
    <phoneticPr fontId="7"/>
  </si>
  <si>
    <t>経費（円）</t>
    <phoneticPr fontId="7"/>
  </si>
  <si>
    <t>ガソリン</t>
    <phoneticPr fontId="7"/>
  </si>
  <si>
    <t>わな架設の見回り km</t>
    <rPh sb="2" eb="4">
      <t>カセツ</t>
    </rPh>
    <rPh sb="5" eb="7">
      <t>ミマワ</t>
    </rPh>
    <phoneticPr fontId="7"/>
  </si>
  <si>
    <t>最大諸経費</t>
    <rPh sb="0" eb="2">
      <t>サイダイ</t>
    </rPh>
    <rPh sb="2" eb="5">
      <t>ショケイヒ</t>
    </rPh>
    <phoneticPr fontId="7"/>
  </si>
  <si>
    <t>上限過剰金</t>
    <rPh sb="0" eb="2">
      <t>ジョウゲン</t>
    </rPh>
    <rPh sb="2" eb="4">
      <t>カジョウ</t>
    </rPh>
    <rPh sb="4" eb="5">
      <t>キン</t>
    </rPh>
    <phoneticPr fontId="7"/>
  </si>
  <si>
    <t>市役所から距離</t>
    <rPh sb="0" eb="3">
      <t>シヤクショ</t>
    </rPh>
    <rPh sb="5" eb="7">
      <t>キョリ</t>
    </rPh>
    <phoneticPr fontId="7"/>
  </si>
  <si>
    <t>区割</t>
    <rPh sb="0" eb="2">
      <t>クワ</t>
    </rPh>
    <phoneticPr fontId="7"/>
  </si>
  <si>
    <t>(市役所からの往復距離×1.5)</t>
    <rPh sb="1" eb="2">
      <t>シ</t>
    </rPh>
    <rPh sb="7" eb="9">
      <t>オウフク</t>
    </rPh>
    <rPh sb="9" eb="11">
      <t>キョリ</t>
    </rPh>
    <phoneticPr fontId="7"/>
  </si>
  <si>
    <t>最大事業費</t>
    <rPh sb="0" eb="2">
      <t>サイダイ</t>
    </rPh>
    <rPh sb="2" eb="5">
      <t>ジギョウヒ</t>
    </rPh>
    <phoneticPr fontId="7"/>
  </si>
  <si>
    <t>効果的捕獲促進事業（府事務費）</t>
    <rPh sb="10" eb="11">
      <t>フ</t>
    </rPh>
    <rPh sb="11" eb="14">
      <t>ジムヒ</t>
    </rPh>
    <phoneticPr fontId="7"/>
  </si>
  <si>
    <t>指定管理鳥獣捕獲等事業実施計画策定等事業（府事務費）</t>
    <rPh sb="21" eb="22">
      <t>フ</t>
    </rPh>
    <rPh sb="22" eb="25">
      <t>ジムヒ</t>
    </rPh>
    <phoneticPr fontId="7"/>
  </si>
  <si>
    <t>効果的捕獲促進事業　積み上げ諸雑費（捕獲作業）</t>
    <rPh sb="0" eb="3">
      <t>コウカテキ</t>
    </rPh>
    <rPh sb="3" eb="5">
      <t>ホカク</t>
    </rPh>
    <rPh sb="5" eb="7">
      <t>ソクシン</t>
    </rPh>
    <rPh sb="7" eb="9">
      <t>ジギョウ</t>
    </rPh>
    <rPh sb="10" eb="11">
      <t>ツ</t>
    </rPh>
    <rPh sb="12" eb="13">
      <t>ア</t>
    </rPh>
    <rPh sb="14" eb="17">
      <t>ショザッピ</t>
    </rPh>
    <rPh sb="18" eb="20">
      <t>ホカク</t>
    </rPh>
    <rPh sb="20" eb="22">
      <t>サギョウ</t>
    </rPh>
    <phoneticPr fontId="7"/>
  </si>
  <si>
    <t>効果的捕獲促進事業</t>
    <rPh sb="0" eb="3">
      <t>コウカテキ</t>
    </rPh>
    <rPh sb="3" eb="5">
      <t>ホカク</t>
    </rPh>
    <rPh sb="5" eb="7">
      <t>ソクシン</t>
    </rPh>
    <rPh sb="7" eb="9">
      <t>ジギョウ</t>
    </rPh>
    <phoneticPr fontId="7"/>
  </si>
  <si>
    <t>現地調査</t>
    <rPh sb="0" eb="2">
      <t>ゲンチ</t>
    </rPh>
    <rPh sb="2" eb="4">
      <t>チョウサ</t>
    </rPh>
    <phoneticPr fontId="7"/>
  </si>
  <si>
    <t>情報調査</t>
    <rPh sb="0" eb="2">
      <t>ジョウホウ</t>
    </rPh>
    <rPh sb="2" eb="4">
      <t>チョウサ</t>
    </rPh>
    <phoneticPr fontId="7"/>
  </si>
  <si>
    <t>評価・報告書作成</t>
    <rPh sb="0" eb="2">
      <t>ヒョウカ</t>
    </rPh>
    <rPh sb="3" eb="6">
      <t>ホウコクショ</t>
    </rPh>
    <rPh sb="6" eb="8">
      <t>サクセイ</t>
    </rPh>
    <phoneticPr fontId="7"/>
  </si>
  <si>
    <t>10,000円未満切捨</t>
    <rPh sb="6" eb="7">
      <t>エン</t>
    </rPh>
    <rPh sb="7" eb="9">
      <t>ミマン</t>
    </rPh>
    <rPh sb="9" eb="10">
      <t>キリ</t>
    </rPh>
    <rPh sb="10" eb="11">
      <t>シャ</t>
    </rPh>
    <phoneticPr fontId="7"/>
  </si>
  <si>
    <t>10,000円未満切捨</t>
    <rPh sb="6" eb="7">
      <t>エン</t>
    </rPh>
    <rPh sb="7" eb="9">
      <t>ミマン</t>
    </rPh>
    <rPh sb="9" eb="10">
      <t>キ</t>
    </rPh>
    <rPh sb="10" eb="11">
      <t>ス</t>
    </rPh>
    <phoneticPr fontId="7"/>
  </si>
  <si>
    <t>総計</t>
    <rPh sb="0" eb="2">
      <t>ソウケイ</t>
    </rPh>
    <phoneticPr fontId="7"/>
  </si>
  <si>
    <r>
      <t>諸経費</t>
    </r>
    <r>
      <rPr>
        <sz val="9"/>
        <rFont val="ＭＳ Ｐゴシック"/>
        <family val="3"/>
        <charset val="128"/>
      </rPr>
      <t>(1,000円未満切捨）</t>
    </r>
    <rPh sb="0" eb="3">
      <t>ショケイヒ</t>
    </rPh>
    <phoneticPr fontId="7"/>
  </si>
  <si>
    <r>
      <t>合計</t>
    </r>
    <r>
      <rPr>
        <sz val="9"/>
        <rFont val="ＭＳ Ｐゴシック"/>
        <family val="3"/>
        <charset val="128"/>
      </rPr>
      <t>(10,000円未満切捨）</t>
    </r>
    <rPh sb="0" eb="2">
      <t>ゴウケイ</t>
    </rPh>
    <phoneticPr fontId="7"/>
  </si>
  <si>
    <t>消費税</t>
    <rPh sb="0" eb="3">
      <t>ショウヒゼイ</t>
    </rPh>
    <phoneticPr fontId="7"/>
  </si>
  <si>
    <t>旅費等</t>
    <rPh sb="0" eb="2">
      <t>リョヒ</t>
    </rPh>
    <rPh sb="2" eb="3">
      <t>トウ</t>
    </rPh>
    <phoneticPr fontId="7"/>
  </si>
  <si>
    <t>運搬費含む</t>
    <rPh sb="0" eb="3">
      <t>ウンパンヒ</t>
    </rPh>
    <rPh sb="3" eb="4">
      <t>フク</t>
    </rPh>
    <phoneticPr fontId="7"/>
  </si>
  <si>
    <t>7回</t>
    <rPh sb="1" eb="2">
      <t>カイ</t>
    </rPh>
    <phoneticPr fontId="7"/>
  </si>
  <si>
    <t>保安員・記録　(3人×7回）</t>
    <phoneticPr fontId="7"/>
  </si>
  <si>
    <t>6頭×7回</t>
    <rPh sb="1" eb="2">
      <t>トウ</t>
    </rPh>
    <rPh sb="4" eb="5">
      <t>カイ</t>
    </rPh>
    <phoneticPr fontId="7"/>
  </si>
  <si>
    <t>捕獲作業（わな）</t>
  </si>
  <si>
    <t>直接経費</t>
    <phoneticPr fontId="7"/>
  </si>
  <si>
    <t>捕獲作業（くくりわな）</t>
    <phoneticPr fontId="7"/>
  </si>
  <si>
    <t>事前調査2回×1台、打合せ・捕獲計画報告2回×1台、捕獲7回×6台（19人/4人+記録者1台=6台）</t>
    <rPh sb="0" eb="2">
      <t>ジゼン</t>
    </rPh>
    <rPh sb="2" eb="4">
      <t>チョウサ</t>
    </rPh>
    <rPh sb="5" eb="6">
      <t>カイ</t>
    </rPh>
    <rPh sb="8" eb="9">
      <t>ダイ</t>
    </rPh>
    <rPh sb="10" eb="12">
      <t>ウチアワ</t>
    </rPh>
    <rPh sb="14" eb="16">
      <t>ホカク</t>
    </rPh>
    <rPh sb="16" eb="18">
      <t>ケイカク</t>
    </rPh>
    <rPh sb="18" eb="20">
      <t>ホウコク</t>
    </rPh>
    <rPh sb="21" eb="22">
      <t>カイ</t>
    </rPh>
    <rPh sb="24" eb="25">
      <t>ダイ</t>
    </rPh>
    <rPh sb="26" eb="28">
      <t>ホカク</t>
    </rPh>
    <rPh sb="29" eb="30">
      <t>カイ</t>
    </rPh>
    <rPh sb="32" eb="33">
      <t>ダイ</t>
    </rPh>
    <rPh sb="36" eb="37">
      <t>ニン</t>
    </rPh>
    <rPh sb="39" eb="40">
      <t>ニン</t>
    </rPh>
    <rPh sb="41" eb="44">
      <t>キロクシャ</t>
    </rPh>
    <rPh sb="45" eb="46">
      <t>ダイ</t>
    </rPh>
    <rPh sb="48" eb="49">
      <t>ダイ</t>
    </rPh>
    <phoneticPr fontId="7"/>
  </si>
  <si>
    <t>技師Ｂ</t>
    <phoneticPr fontId="7"/>
  </si>
  <si>
    <t>ジビエ利用拡大のための狩猟捕獲支援</t>
    <rPh sb="3" eb="5">
      <t>リヨウ</t>
    </rPh>
    <rPh sb="5" eb="7">
      <t>カクダイ</t>
    </rPh>
    <rPh sb="11" eb="13">
      <t>シュリョウ</t>
    </rPh>
    <rPh sb="13" eb="15">
      <t>ホカク</t>
    </rPh>
    <rPh sb="15" eb="17">
      <t>シエン</t>
    </rPh>
    <phoneticPr fontId="7"/>
  </si>
  <si>
    <t>狩猟捕獲経費支援</t>
    <rPh sb="0" eb="2">
      <t>シュリョウ</t>
    </rPh>
    <rPh sb="2" eb="4">
      <t>ホカク</t>
    </rPh>
    <rPh sb="4" eb="6">
      <t>ケイヒ</t>
    </rPh>
    <rPh sb="6" eb="8">
      <t>シエン</t>
    </rPh>
    <phoneticPr fontId="7"/>
  </si>
  <si>
    <t>狩猟者への捕獲経費支払い</t>
    <rPh sb="0" eb="3">
      <t>シュリョウシャ</t>
    </rPh>
    <rPh sb="5" eb="7">
      <t>ホカク</t>
    </rPh>
    <rPh sb="7" eb="9">
      <t>ケイヒ</t>
    </rPh>
    <rPh sb="9" eb="11">
      <t>シハラ</t>
    </rPh>
    <phoneticPr fontId="7"/>
  </si>
  <si>
    <t>捕獲経費</t>
    <rPh sb="0" eb="2">
      <t>ホカク</t>
    </rPh>
    <rPh sb="2" eb="4">
      <t>ケイヒ</t>
    </rPh>
    <phoneticPr fontId="7"/>
  </si>
  <si>
    <t>狩猟者指導経費支援</t>
    <rPh sb="0" eb="3">
      <t>シュリョウシャ</t>
    </rPh>
    <rPh sb="3" eb="5">
      <t>シドウ</t>
    </rPh>
    <rPh sb="5" eb="7">
      <t>ケイヒ</t>
    </rPh>
    <rPh sb="7" eb="9">
      <t>シエン</t>
    </rPh>
    <phoneticPr fontId="7"/>
  </si>
  <si>
    <t>小計　①</t>
    <rPh sb="0" eb="2">
      <t>ショウケイ</t>
    </rPh>
    <phoneticPr fontId="7"/>
  </si>
  <si>
    <t>処理加工施設による狩猟者指導経費支援</t>
    <rPh sb="0" eb="2">
      <t>ショリ</t>
    </rPh>
    <rPh sb="2" eb="4">
      <t>カコウ</t>
    </rPh>
    <rPh sb="4" eb="6">
      <t>シセツ</t>
    </rPh>
    <rPh sb="9" eb="12">
      <t>シュリョウシャ</t>
    </rPh>
    <rPh sb="12" eb="14">
      <t>シドウ</t>
    </rPh>
    <rPh sb="14" eb="16">
      <t>ケイヒ</t>
    </rPh>
    <rPh sb="16" eb="18">
      <t>シエン</t>
    </rPh>
    <phoneticPr fontId="7"/>
  </si>
  <si>
    <t>狩猟者への搬入規則等説明会</t>
    <rPh sb="0" eb="3">
      <t>シュリョウシャ</t>
    </rPh>
    <rPh sb="5" eb="7">
      <t>ハンニュウ</t>
    </rPh>
    <rPh sb="7" eb="9">
      <t>キソク</t>
    </rPh>
    <rPh sb="9" eb="10">
      <t>ナド</t>
    </rPh>
    <rPh sb="10" eb="13">
      <t>セツメイカイ</t>
    </rPh>
    <phoneticPr fontId="7"/>
  </si>
  <si>
    <t>講習会開催</t>
    <rPh sb="0" eb="3">
      <t>コウシュウカイ</t>
    </rPh>
    <rPh sb="3" eb="5">
      <t>カイサイ</t>
    </rPh>
    <phoneticPr fontId="7"/>
  </si>
  <si>
    <t>小計　②</t>
    <rPh sb="0" eb="2">
      <t>ショウケイ</t>
    </rPh>
    <phoneticPr fontId="7"/>
  </si>
  <si>
    <t>消費税</t>
    <rPh sb="0" eb="3">
      <t>ショウヒゼイ</t>
    </rPh>
    <phoneticPr fontId="7"/>
  </si>
  <si>
    <t>総計</t>
    <rPh sb="0" eb="2">
      <t>ソウケイ</t>
    </rPh>
    <phoneticPr fontId="7"/>
  </si>
  <si>
    <t>ニホンジカ</t>
    <phoneticPr fontId="7"/>
  </si>
  <si>
    <t>イノシシ</t>
    <phoneticPr fontId="7"/>
  </si>
  <si>
    <t>４箇所</t>
    <rPh sb="1" eb="3">
      <t>カショ</t>
    </rPh>
    <phoneticPr fontId="7"/>
  </si>
  <si>
    <t>ニホンジカ　※税込み</t>
    <rPh sb="7" eb="9">
      <t>ゼイコ</t>
    </rPh>
    <phoneticPr fontId="7"/>
  </si>
  <si>
    <t>狩猟者への運搬等経費支払い</t>
    <rPh sb="0" eb="3">
      <t>シュリョウシャ</t>
    </rPh>
    <rPh sb="5" eb="7">
      <t>ウンパン</t>
    </rPh>
    <rPh sb="7" eb="8">
      <t>トウ</t>
    </rPh>
    <rPh sb="8" eb="10">
      <t>ケイヒ</t>
    </rPh>
    <rPh sb="10" eb="12">
      <t>シハラ</t>
    </rPh>
    <phoneticPr fontId="7"/>
  </si>
  <si>
    <t>運搬・処理等経費</t>
    <rPh sb="0" eb="2">
      <t>ウンパン</t>
    </rPh>
    <rPh sb="3" eb="5">
      <t>ショリ</t>
    </rPh>
    <rPh sb="5" eb="6">
      <t>トウ</t>
    </rPh>
    <rPh sb="6" eb="8">
      <t>ケイヒ</t>
    </rPh>
    <phoneticPr fontId="7"/>
  </si>
  <si>
    <t>ジビエ利用拡大のための狩猟捕獲支援（府事務費）</t>
    <rPh sb="18" eb="19">
      <t>フ</t>
    </rPh>
    <rPh sb="19" eb="22">
      <t>ジムヒ</t>
    </rPh>
    <phoneticPr fontId="7"/>
  </si>
  <si>
    <t>式</t>
    <rPh sb="0" eb="1">
      <t>シキ</t>
    </rPh>
    <phoneticPr fontId="7"/>
  </si>
  <si>
    <t>諸雑費</t>
  </si>
  <si>
    <t>純調査費（直接調査費＋間接調査費）の50.0％以内、1,000円未満切捨</t>
    <rPh sb="0" eb="1">
      <t>ジュン</t>
    </rPh>
    <rPh sb="1" eb="4">
      <t>チョウサヒ</t>
    </rPh>
    <rPh sb="5" eb="7">
      <t>チョクセツ</t>
    </rPh>
    <rPh sb="7" eb="9">
      <t>チョウサ</t>
    </rPh>
    <rPh sb="9" eb="10">
      <t>ヒ</t>
    </rPh>
    <rPh sb="11" eb="13">
      <t>カンセツ</t>
    </rPh>
    <rPh sb="13" eb="15">
      <t>チョウサ</t>
    </rPh>
    <rPh sb="15" eb="16">
      <t>ヒ</t>
    </rPh>
    <rPh sb="23" eb="25">
      <t>イナイ</t>
    </rPh>
    <rPh sb="31" eb="32">
      <t>エン</t>
    </rPh>
    <rPh sb="32" eb="34">
      <t>ミマン</t>
    </rPh>
    <rPh sb="34" eb="35">
      <t>キ</t>
    </rPh>
    <rPh sb="35" eb="36">
      <t>ス</t>
    </rPh>
    <phoneticPr fontId="7"/>
  </si>
  <si>
    <t>50%以内、1,000円未満切捨</t>
    <phoneticPr fontId="7"/>
  </si>
  <si>
    <t>50%以内，1,000円未満切捨</t>
    <rPh sb="11" eb="12">
      <t>エン</t>
    </rPh>
    <rPh sb="12" eb="14">
      <t>ミマン</t>
    </rPh>
    <rPh sb="14" eb="15">
      <t>キ</t>
    </rPh>
    <rPh sb="15" eb="16">
      <t>ス</t>
    </rPh>
    <phoneticPr fontId="7"/>
  </si>
  <si>
    <t>10,000円未満切捨</t>
  </si>
  <si>
    <t>小計②＋諸経費</t>
    <rPh sb="0" eb="2">
      <t>ショウケイ</t>
    </rPh>
    <rPh sb="4" eb="7">
      <t>ショケイヒ</t>
    </rPh>
    <phoneticPr fontId="7"/>
  </si>
  <si>
    <t>合計</t>
    <rPh sb="0" eb="2">
      <t>ゴウケイ</t>
    </rPh>
    <phoneticPr fontId="7"/>
  </si>
  <si>
    <t>説明会講師謝金</t>
    <rPh sb="0" eb="3">
      <t>セツメイカイ</t>
    </rPh>
    <rPh sb="3" eb="5">
      <t>コウシ</t>
    </rPh>
    <rPh sb="5" eb="7">
      <t>シャキン</t>
    </rPh>
    <phoneticPr fontId="7"/>
  </si>
  <si>
    <t>2名×5箇所</t>
    <rPh sb="1" eb="2">
      <t>メイ</t>
    </rPh>
    <rPh sb="4" eb="6">
      <t>カショ</t>
    </rPh>
    <phoneticPr fontId="7"/>
  </si>
  <si>
    <t>打合せ
技師A：１名×半日×４回
技師C：１名×半日×２回</t>
    <rPh sb="0" eb="2">
      <t>ウチアワ</t>
    </rPh>
    <rPh sb="4" eb="6">
      <t>ギシ</t>
    </rPh>
    <rPh sb="9" eb="10">
      <t>メイ</t>
    </rPh>
    <rPh sb="11" eb="12">
      <t>ハン</t>
    </rPh>
    <phoneticPr fontId="7"/>
  </si>
  <si>
    <t>出猟カレンダー・農業被害データから被害分布・被害状況等を分析
 評価（２カ所）</t>
    <rPh sb="0" eb="2">
      <t>シュツリョウ</t>
    </rPh>
    <rPh sb="8" eb="10">
      <t>ノウギョウ</t>
    </rPh>
    <rPh sb="10" eb="12">
      <t>ヒガイ</t>
    </rPh>
    <rPh sb="17" eb="19">
      <t>ヒガイ</t>
    </rPh>
    <rPh sb="19" eb="21">
      <t>ブンプ</t>
    </rPh>
    <rPh sb="22" eb="24">
      <t>ヒガイ</t>
    </rPh>
    <rPh sb="24" eb="26">
      <t>ジョウキョウ</t>
    </rPh>
    <rPh sb="26" eb="27">
      <t>トウ</t>
    </rPh>
    <rPh sb="28" eb="30">
      <t>ブンセキ</t>
    </rPh>
    <rPh sb="32" eb="34">
      <t>ヒョウカ</t>
    </rPh>
    <rPh sb="37" eb="38">
      <t>ショ</t>
    </rPh>
    <phoneticPr fontId="7"/>
  </si>
  <si>
    <t>54台×30日×１カ所、10台×30日×1カ所</t>
    <rPh sb="2" eb="3">
      <t>ダイ</t>
    </rPh>
    <rPh sb="6" eb="7">
      <t>ニチ</t>
    </rPh>
    <rPh sb="10" eb="11">
      <t>ショ</t>
    </rPh>
    <rPh sb="14" eb="15">
      <t>ダイ</t>
    </rPh>
    <rPh sb="18" eb="19">
      <t>ニチ</t>
    </rPh>
    <rPh sb="22" eb="23">
      <t>ショ</t>
    </rPh>
    <phoneticPr fontId="7"/>
  </si>
  <si>
    <t>往復200km×15台日、10km/L</t>
    <rPh sb="0" eb="2">
      <t>オウフク</t>
    </rPh>
    <rPh sb="10" eb="11">
      <t>ダイ</t>
    </rPh>
    <rPh sb="11" eb="12">
      <t>ニチ</t>
    </rPh>
    <phoneticPr fontId="7"/>
  </si>
  <si>
    <t>15台</t>
    <rPh sb="2" eb="3">
      <t>ダイ</t>
    </rPh>
    <phoneticPr fontId="7"/>
  </si>
  <si>
    <t>25台</t>
    <rPh sb="2" eb="3">
      <t>ダイ</t>
    </rPh>
    <phoneticPr fontId="7"/>
  </si>
  <si>
    <t>評価シート案作成・事業計画案作成（技師A３,技師B３)
評価会議出席・会議資料作成（技師A３,技師B２,技師C２）
報告書作成（技師A２,技師B１,技師C２)</t>
    <rPh sb="0" eb="2">
      <t>ヒョウカ</t>
    </rPh>
    <rPh sb="5" eb="6">
      <t>アン</t>
    </rPh>
    <rPh sb="6" eb="8">
      <t>サクセイ</t>
    </rPh>
    <rPh sb="17" eb="19">
      <t>ギシ</t>
    </rPh>
    <rPh sb="22" eb="24">
      <t>ギシ</t>
    </rPh>
    <rPh sb="28" eb="30">
      <t>ヒョウカ</t>
    </rPh>
    <rPh sb="30" eb="32">
      <t>カイギ</t>
    </rPh>
    <rPh sb="32" eb="34">
      <t>シュッセキ</t>
    </rPh>
    <rPh sb="35" eb="37">
      <t>カイギ</t>
    </rPh>
    <rPh sb="37" eb="39">
      <t>シリョウ</t>
    </rPh>
    <rPh sb="39" eb="41">
      <t>サクセイ</t>
    </rPh>
    <rPh sb="42" eb="44">
      <t>ギシ</t>
    </rPh>
    <rPh sb="47" eb="49">
      <t>ギシ</t>
    </rPh>
    <rPh sb="52" eb="54">
      <t>ギシ</t>
    </rPh>
    <rPh sb="58" eb="61">
      <t>ホウコクショ</t>
    </rPh>
    <rPh sb="61" eb="63">
      <t>サクセイ</t>
    </rPh>
    <rPh sb="64" eb="66">
      <t>ギシ</t>
    </rPh>
    <rPh sb="69" eb="71">
      <t>ギシ</t>
    </rPh>
    <rPh sb="74" eb="76">
      <t>ギシ</t>
    </rPh>
    <phoneticPr fontId="7"/>
  </si>
  <si>
    <t>令和４年度</t>
    <rPh sb="0" eb="2">
      <t>レイワ</t>
    </rPh>
    <rPh sb="3" eb="5">
      <t>ネンド</t>
    </rPh>
    <phoneticPr fontId="7"/>
  </si>
  <si>
    <t>捕獲（17人×7回）</t>
    <rPh sb="0" eb="2">
      <t>ホカク</t>
    </rPh>
    <rPh sb="5" eb="6">
      <t>ニン</t>
    </rPh>
    <rPh sb="8" eb="9">
      <t>カイ</t>
    </rPh>
    <phoneticPr fontId="7"/>
  </si>
  <si>
    <t>非鉛銅弾頭　１箱２０発×６箱＝１２０発</t>
    <rPh sb="0" eb="1">
      <t>ヒ</t>
    </rPh>
    <rPh sb="1" eb="2">
      <t>ナマリ</t>
    </rPh>
    <rPh sb="2" eb="3">
      <t>ドウ</t>
    </rPh>
    <rPh sb="3" eb="5">
      <t>ダントウ</t>
    </rPh>
    <rPh sb="7" eb="8">
      <t>ハコ</t>
    </rPh>
    <rPh sb="10" eb="11">
      <t>ハツ</t>
    </rPh>
    <rPh sb="13" eb="14">
      <t>ハコ</t>
    </rPh>
    <rPh sb="18" eb="19">
      <t>ハツ</t>
    </rPh>
    <phoneticPr fontId="7"/>
  </si>
  <si>
    <t>打合せ：半日×1人（技師A）
現地調査（立入・進入路、痕跡・聞取り調査等）：2日×2人（技師C）
捕獲計画報告：半日×1人（技師A）</t>
    <rPh sb="10" eb="12">
      <t>ギシ</t>
    </rPh>
    <rPh sb="44" eb="46">
      <t>ギシ</t>
    </rPh>
    <rPh sb="62" eb="64">
      <t>ギシ</t>
    </rPh>
    <phoneticPr fontId="7"/>
  </si>
  <si>
    <t>打合せ：半日×1人（技師A）
地元周知作業：0.25日×4人（技師C）
現地調査（立入・進入路、痕跡・聞取り調査等）：半日×1人×2回（技師C）
捕獲計画報告：半日×1人（技師A）</t>
    <rPh sb="0" eb="2">
      <t>ウチアワ</t>
    </rPh>
    <rPh sb="4" eb="6">
      <t>ハンニチ</t>
    </rPh>
    <rPh sb="8" eb="9">
      <t>ニン</t>
    </rPh>
    <rPh sb="10" eb="12">
      <t>ギシ</t>
    </rPh>
    <rPh sb="15" eb="17">
      <t>ジモト</t>
    </rPh>
    <rPh sb="17" eb="19">
      <t>シュウチ</t>
    </rPh>
    <rPh sb="19" eb="21">
      <t>サギョウ</t>
    </rPh>
    <rPh sb="26" eb="27">
      <t>ニチ</t>
    </rPh>
    <rPh sb="29" eb="30">
      <t>ニン</t>
    </rPh>
    <rPh sb="31" eb="33">
      <t>ギシ</t>
    </rPh>
    <rPh sb="36" eb="38">
      <t>ゲンチ</t>
    </rPh>
    <rPh sb="38" eb="40">
      <t>チョウサ</t>
    </rPh>
    <rPh sb="41" eb="42">
      <t>タ</t>
    </rPh>
    <rPh sb="42" eb="43">
      <t>イ</t>
    </rPh>
    <rPh sb="44" eb="47">
      <t>シンニュウロ</t>
    </rPh>
    <rPh sb="48" eb="50">
      <t>コンセキ</t>
    </rPh>
    <rPh sb="51" eb="52">
      <t>キ</t>
    </rPh>
    <rPh sb="52" eb="53">
      <t>ト</t>
    </rPh>
    <rPh sb="54" eb="56">
      <t>チョウサ</t>
    </rPh>
    <rPh sb="56" eb="57">
      <t>トウ</t>
    </rPh>
    <rPh sb="59" eb="60">
      <t>ハン</t>
    </rPh>
    <rPh sb="60" eb="61">
      <t>ニチ</t>
    </rPh>
    <rPh sb="66" eb="67">
      <t>カイ</t>
    </rPh>
    <rPh sb="68" eb="70">
      <t>ギシ</t>
    </rPh>
    <rPh sb="73" eb="75">
      <t>ホカク</t>
    </rPh>
    <rPh sb="75" eb="77">
      <t>ケイカク</t>
    </rPh>
    <rPh sb="77" eb="79">
      <t>ホウコク</t>
    </rPh>
    <rPh sb="80" eb="82">
      <t>ハンニチ</t>
    </rPh>
    <rPh sb="84" eb="85">
      <t>ニン</t>
    </rPh>
    <rPh sb="86" eb="88">
      <t>ギシ</t>
    </rPh>
    <phoneticPr fontId="7"/>
  </si>
  <si>
    <t>見回り25回×1台、設置・撤去・移設3回×1台</t>
    <rPh sb="0" eb="2">
      <t>ミマワ</t>
    </rPh>
    <rPh sb="5" eb="6">
      <t>カイ</t>
    </rPh>
    <rPh sb="8" eb="9">
      <t>ダイ</t>
    </rPh>
    <rPh sb="10" eb="12">
      <t>セッチ</t>
    </rPh>
    <rPh sb="13" eb="15">
      <t>テッキョ</t>
    </rPh>
    <rPh sb="16" eb="18">
      <t>イセツ</t>
    </rPh>
    <rPh sb="19" eb="20">
      <t>カイ</t>
    </rPh>
    <rPh sb="22" eb="23">
      <t>ダイ</t>
    </rPh>
    <phoneticPr fontId="7"/>
  </si>
  <si>
    <t>設置、移設（1日×2人×2回）、見回り（0.2人日×1人×25回）、撤去（1日×1人×1回）</t>
    <rPh sb="7" eb="8">
      <t>ニチ</t>
    </rPh>
    <rPh sb="44" eb="45">
      <t>カイ</t>
    </rPh>
    <phoneticPr fontId="7"/>
  </si>
  <si>
    <t>捕獲作業（わな）</t>
    <phoneticPr fontId="7"/>
  </si>
  <si>
    <t>指定管理鳥獣捕獲等業務（舞鶴市神崎周辺）　積み上げ諸雑費（捕獲作業）</t>
    <rPh sb="0" eb="2">
      <t>シテイ</t>
    </rPh>
    <rPh sb="2" eb="4">
      <t>カンリ</t>
    </rPh>
    <rPh sb="4" eb="6">
      <t>チョウジュウ</t>
    </rPh>
    <rPh sb="6" eb="8">
      <t>ホカク</t>
    </rPh>
    <rPh sb="8" eb="9">
      <t>トウ</t>
    </rPh>
    <rPh sb="9" eb="11">
      <t>ギョウム</t>
    </rPh>
    <rPh sb="12" eb="15">
      <t>マイヅルシ</t>
    </rPh>
    <rPh sb="15" eb="17">
      <t>カミサキ</t>
    </rPh>
    <rPh sb="17" eb="19">
      <t>シュウヘン</t>
    </rPh>
    <rPh sb="21" eb="22">
      <t>ツ</t>
    </rPh>
    <rPh sb="23" eb="24">
      <t>ア</t>
    </rPh>
    <rPh sb="25" eb="28">
      <t>ショザッピ</t>
    </rPh>
    <rPh sb="29" eb="31">
      <t>ホカク</t>
    </rPh>
    <rPh sb="31" eb="33">
      <t>サギョウ</t>
    </rPh>
    <phoneticPr fontId="7"/>
  </si>
  <si>
    <t>指定管理鳥獣捕獲等事業（捕獲_舞鶴市神崎周辺）</t>
    <rPh sb="0" eb="2">
      <t>シテイ</t>
    </rPh>
    <rPh sb="2" eb="4">
      <t>カンリ</t>
    </rPh>
    <rPh sb="4" eb="6">
      <t>チョウジュウ</t>
    </rPh>
    <rPh sb="6" eb="8">
      <t>ホカク</t>
    </rPh>
    <rPh sb="8" eb="9">
      <t>ナド</t>
    </rPh>
    <rPh sb="12" eb="14">
      <t>ホカク</t>
    </rPh>
    <rPh sb="15" eb="18">
      <t>マイヅルシ</t>
    </rPh>
    <rPh sb="18" eb="20">
      <t>カミサキ</t>
    </rPh>
    <rPh sb="20" eb="22">
      <t>シュウヘン</t>
    </rPh>
    <phoneticPr fontId="7"/>
  </si>
  <si>
    <t>令和５年度</t>
    <rPh sb="0" eb="2">
      <t>レイワ</t>
    </rPh>
    <rPh sb="3" eb="5">
      <t>ネンド</t>
    </rPh>
    <phoneticPr fontId="7"/>
  </si>
  <si>
    <t>舞鶴市</t>
    <rPh sb="0" eb="3">
      <t>マイヅルシ</t>
    </rPh>
    <phoneticPr fontId="7"/>
  </si>
  <si>
    <t>技師B</t>
    <rPh sb="0" eb="2">
      <t>ギシ</t>
    </rPh>
    <phoneticPr fontId="7"/>
  </si>
  <si>
    <t>京都府指定管理鳥獣捕獲等事業協議会</t>
  </si>
  <si>
    <t>京都府指定管理鳥獣捕獲等事業協議会</t>
    <rPh sb="0" eb="3">
      <t>キョウトフ</t>
    </rPh>
    <rPh sb="3" eb="5">
      <t>シテイ</t>
    </rPh>
    <rPh sb="5" eb="7">
      <t>カンリ</t>
    </rPh>
    <rPh sb="7" eb="8">
      <t>トリ</t>
    </rPh>
    <rPh sb="8" eb="9">
      <t>ケモノ</t>
    </rPh>
    <rPh sb="9" eb="11">
      <t>ホカク</t>
    </rPh>
    <rPh sb="11" eb="12">
      <t>トウ</t>
    </rPh>
    <rPh sb="12" eb="14">
      <t>ジギョウ</t>
    </rPh>
    <rPh sb="14" eb="16">
      <t>キョウギ</t>
    </rPh>
    <rPh sb="16" eb="17">
      <t>カイ</t>
    </rPh>
    <phoneticPr fontId="7"/>
  </si>
  <si>
    <r>
      <t>別記様式第１</t>
    </r>
    <r>
      <rPr>
        <sz val="11"/>
        <rFont val="Times New Roman"/>
        <family val="1"/>
      </rPr>
      <t xml:space="preserve"> </t>
    </r>
    <r>
      <rPr>
        <sz val="11"/>
        <rFont val="ＭＳ 明朝"/>
        <family val="1"/>
        <charset val="128"/>
      </rPr>
      <t>別添（実施主体：都道府県）</t>
    </r>
  </si>
  <si>
    <t>交付金事業計画</t>
  </si>
  <si>
    <r>
      <t xml:space="preserve">                                                                                                              </t>
    </r>
    <r>
      <rPr>
        <sz val="11"/>
        <rFont val="ＭＳ 明朝"/>
        <family val="1"/>
        <charset val="128"/>
      </rPr>
      <t>都道府県名：京都府　　</t>
    </r>
  </si>
  <si>
    <t>第１　事業概要</t>
  </si>
  <si>
    <r>
      <t xml:space="preserve">  </t>
    </r>
    <r>
      <rPr>
        <sz val="11"/>
        <rFont val="ＭＳ 明朝"/>
        <family val="1"/>
        <charset val="128"/>
      </rPr>
      <t>１　事業対象の指定管理鳥獣の種類、指定管理鳥獣捕獲等事業実施計画の策定状況</t>
    </r>
  </si>
  <si>
    <t>ニホンジカ</t>
  </si>
  <si>
    <t>令和５年８月（予定）</t>
  </si>
  <si>
    <t>イノシシ</t>
  </si>
  <si>
    <r>
      <t>令和</t>
    </r>
    <r>
      <rPr>
        <sz val="11"/>
        <rFont val="Times New Roman"/>
        <family val="1"/>
      </rPr>
      <t xml:space="preserve">   </t>
    </r>
    <r>
      <rPr>
        <sz val="11"/>
        <rFont val="ＭＳ 明朝"/>
        <family val="1"/>
        <charset val="128"/>
      </rPr>
      <t>年　　月</t>
    </r>
  </si>
  <si>
    <r>
      <t xml:space="preserve">       </t>
    </r>
    <r>
      <rPr>
        <sz val="9"/>
        <rFont val="ＭＳ 明朝"/>
        <family val="1"/>
        <charset val="128"/>
      </rPr>
      <t>注１：事業対象の指定管理鳥獣の名称を○で囲むこと。</t>
    </r>
  </si>
  <si>
    <t>注２：ニホンジカ又はイノシシの欄には、策定の年月又は予定年月のいずれかを記入すること。予定年月の場合は、年月の後に「（予定）」と記入すること。</t>
  </si>
  <si>
    <t xml:space="preserve">  </t>
  </si>
  <si>
    <r>
      <t xml:space="preserve">  </t>
    </r>
    <r>
      <rPr>
        <sz val="11"/>
        <rFont val="ＭＳ 明朝"/>
        <family val="1"/>
        <charset val="128"/>
      </rPr>
      <t>２　事業計画総括表</t>
    </r>
  </si>
  <si>
    <t>事業費（円）</t>
  </si>
  <si>
    <r>
      <t xml:space="preserve">              </t>
    </r>
    <r>
      <rPr>
        <sz val="11"/>
        <rFont val="ＭＳ 明朝"/>
        <family val="1"/>
        <charset val="128"/>
      </rPr>
      <t>負担区分（円）</t>
    </r>
  </si>
  <si>
    <t>事業概要</t>
  </si>
  <si>
    <t>交付金</t>
  </si>
  <si>
    <t>都道府県費</t>
  </si>
  <si>
    <t>その他</t>
  </si>
  <si>
    <t>交付割合</t>
  </si>
  <si>
    <t>備考</t>
  </si>
  <si>
    <t>ア　指定管理鳥獣捕獲等事業実施計画策定等事業</t>
  </si>
  <si>
    <r>
      <t>①</t>
    </r>
    <r>
      <rPr>
        <sz val="11"/>
        <rFont val="Times New Roman"/>
        <family val="1"/>
      </rPr>
      <t xml:space="preserve"> </t>
    </r>
    <r>
      <rPr>
        <sz val="11"/>
        <rFont val="ＭＳ 明朝"/>
        <family val="1"/>
        <charset val="128"/>
      </rPr>
      <t>実施計画の検討・策定</t>
    </r>
  </si>
  <si>
    <r>
      <t>②</t>
    </r>
    <r>
      <rPr>
        <sz val="11"/>
        <rFont val="Times New Roman"/>
        <family val="1"/>
      </rPr>
      <t xml:space="preserve"> </t>
    </r>
    <r>
      <rPr>
        <sz val="11"/>
        <rFont val="ＭＳ 明朝"/>
        <family val="1"/>
        <charset val="128"/>
      </rPr>
      <t>生息状況及び被害状況の調査</t>
    </r>
  </si>
  <si>
    <r>
      <t>③</t>
    </r>
    <r>
      <rPr>
        <sz val="11"/>
        <rFont val="Times New Roman"/>
        <family val="1"/>
      </rPr>
      <t xml:space="preserve"> </t>
    </r>
    <r>
      <rPr>
        <sz val="11"/>
        <rFont val="ＭＳ 明朝"/>
        <family val="1"/>
        <charset val="128"/>
      </rPr>
      <t>捕獲情報等の収集、整理、分析</t>
    </r>
  </si>
  <si>
    <r>
      <t>④</t>
    </r>
    <r>
      <rPr>
        <sz val="11"/>
        <rFont val="Times New Roman"/>
        <family val="1"/>
      </rPr>
      <t xml:space="preserve"> </t>
    </r>
    <r>
      <rPr>
        <sz val="11"/>
        <rFont val="ＭＳ 明朝"/>
        <family val="1"/>
        <charset val="128"/>
      </rPr>
      <t>事業の評価、検証</t>
    </r>
  </si>
  <si>
    <t>イ　指定管理鳥獣捕獲等事業</t>
  </si>
  <si>
    <t>1/2以内（原子力災害対策特別措置法に基づく出荷制限がある県及びイノシシ等への豚熱ウイルスの感染が確認された都道府県は2/3以内。ただし、対象となる指定管理鳥獣はイノシシに限る。）</t>
  </si>
  <si>
    <r>
      <t>①</t>
    </r>
    <r>
      <rPr>
        <sz val="11"/>
        <rFont val="Times New Roman"/>
        <family val="1"/>
      </rPr>
      <t xml:space="preserve"> </t>
    </r>
    <r>
      <rPr>
        <sz val="11"/>
        <rFont val="ＭＳ 明朝"/>
        <family val="1"/>
        <charset val="128"/>
      </rPr>
      <t>捕獲及び捕獲に付随する事項の実施</t>
    </r>
  </si>
  <si>
    <r>
      <t>②</t>
    </r>
    <r>
      <rPr>
        <sz val="11"/>
        <rFont val="Times New Roman"/>
        <family val="1"/>
      </rPr>
      <t xml:space="preserve"> </t>
    </r>
    <r>
      <rPr>
        <sz val="11"/>
        <rFont val="ＭＳ 明朝"/>
        <family val="1"/>
        <charset val="128"/>
      </rPr>
      <t>捕獲個体の搬出・処分</t>
    </r>
  </si>
  <si>
    <t>ウ　効果的捕獲促進事業</t>
  </si>
  <si>
    <t>①　効果的捕獲モデル・技術開発タイプ</t>
  </si>
  <si>
    <t>定額（①、②、③それぞれ10,000千円を上限とする）</t>
  </si>
  <si>
    <t>②　市町村連携タイプ</t>
  </si>
  <si>
    <t>③　広域連携タイプ</t>
  </si>
  <si>
    <t>エ　認定鳥獣捕獲等事業者等の育成</t>
  </si>
  <si>
    <r>
      <t>定額（2,000千円を上限とする定額、定額を超える事業費分は1</t>
    </r>
    <r>
      <rPr>
        <sz val="10"/>
        <rFont val="Times New Roman"/>
        <family val="1"/>
      </rPr>
      <t>/</t>
    </r>
    <r>
      <rPr>
        <sz val="10"/>
        <rFont val="ＭＳ 明朝"/>
        <family val="1"/>
        <charset val="128"/>
      </rPr>
      <t>2以内）</t>
    </r>
  </si>
  <si>
    <t>オ　ジビエ利用拡大を考慮した狩猟者の育成</t>
  </si>
  <si>
    <t>カ　ジビエ利用拡大等のための狩猟捕獲支援</t>
  </si>
  <si>
    <r>
      <t>定額（１頭９千円を上限とする定額（シカ、イノシシ各２頭目から対象）、処理加工施設１施設当たり</t>
    </r>
    <r>
      <rPr>
        <sz val="11"/>
        <rFont val="Times New Roman"/>
        <family val="1"/>
      </rPr>
      <t>2,000</t>
    </r>
    <r>
      <rPr>
        <sz val="11"/>
        <rFont val="ＭＳ 明朝"/>
        <family val="1"/>
        <charset val="128"/>
      </rPr>
      <t>千円を上限とする定額。</t>
    </r>
  </si>
  <si>
    <t>①　狩猟捕獲経費の支援</t>
  </si>
  <si>
    <r>
      <t>定額（１頭</t>
    </r>
    <r>
      <rPr>
        <sz val="11"/>
        <rFont val="Times New Roman"/>
        <family val="1"/>
      </rPr>
      <t>8</t>
    </r>
    <r>
      <rPr>
        <sz val="11"/>
        <rFont val="ＭＳ 明朝"/>
        <family val="1"/>
        <charset val="128"/>
      </rPr>
      <t>千円を上限とする定額）、処分施設等での処分に要する経費を定額とする。</t>
    </r>
  </si>
  <si>
    <r>
      <t>②</t>
    </r>
    <r>
      <rPr>
        <sz val="11"/>
        <rFont val="Times New Roman"/>
        <family val="1"/>
      </rPr>
      <t xml:space="preserve">  </t>
    </r>
    <r>
      <rPr>
        <sz val="11"/>
        <rFont val="ＭＳ 明朝"/>
        <family val="1"/>
        <charset val="128"/>
      </rPr>
      <t>処理加工施設による狩猟者指導・廃棄物処理等経費の支援</t>
    </r>
  </si>
  <si>
    <t>③　捕獲強化のための狩猟経費補助</t>
  </si>
  <si>
    <t>④　処分施設等による処分経費補助</t>
  </si>
  <si>
    <t>計</t>
  </si>
  <si>
    <r>
      <t xml:space="preserve"> </t>
    </r>
    <r>
      <rPr>
        <sz val="9"/>
        <rFont val="ＭＳ 明朝"/>
        <family val="1"/>
        <charset val="128"/>
      </rPr>
      <t>注１：各欄とも消費税及び地方消費税相当分を含んだ額を記入すること。</t>
    </r>
  </si>
  <si>
    <r>
      <t xml:space="preserve"> </t>
    </r>
    <r>
      <rPr>
        <sz val="9"/>
        <rFont val="ＭＳ 明朝"/>
        <family val="1"/>
        <charset val="128"/>
      </rPr>
      <t>注２：負担区分の「その他」の欄には、寄付その他収入を記入すること。</t>
    </r>
  </si>
  <si>
    <t>３　事業の実施期間</t>
  </si>
  <si>
    <t>　令和５年４月　～　令和６年３月</t>
  </si>
  <si>
    <t>４　第二種特定鳥獣管理計画における管理の目標の概要</t>
  </si>
  <si>
    <t>（１）指定管理鳥獣の生息、捕獲等の現状等</t>
  </si>
  <si>
    <t>・これまで顕著に増加傾向にあった密度指標は、令和元年度をピークに減少傾向にあり、生息頭数が減少し始めているのではないかと推察される。</t>
  </si>
  <si>
    <t>　しかし、依然として密度指標が高い状況にあるため、引き続き捕獲努力を継続して生息頭数の削減に努める必要がある。</t>
  </si>
  <si>
    <r>
      <t>・被害防止捕獲や狩猟捕獲に対する支援制度により捕獲頭数が増加しているものの、生息数を半減させるために設定した年間捕獲目標</t>
    </r>
    <r>
      <rPr>
        <sz val="11"/>
        <rFont val="Times New Roman"/>
        <family val="1"/>
      </rPr>
      <t xml:space="preserve"> 26,000</t>
    </r>
    <r>
      <rPr>
        <sz val="11"/>
        <rFont val="ＭＳ 明朝"/>
        <family val="1"/>
        <charset val="128"/>
      </rPr>
      <t>頭（メスジカ</t>
    </r>
    <r>
      <rPr>
        <sz val="11"/>
        <rFont val="Times New Roman"/>
        <family val="1"/>
      </rPr>
      <t>15,000</t>
    </r>
    <r>
      <rPr>
        <sz val="11"/>
        <rFont val="ＭＳ 明朝"/>
        <family val="1"/>
        <charset val="128"/>
      </rPr>
      <t>頭、オスジカ</t>
    </r>
    <r>
      <rPr>
        <sz val="11"/>
        <rFont val="Times New Roman"/>
        <family val="1"/>
      </rPr>
      <t>11,000</t>
    </r>
    <r>
      <rPr>
        <sz val="11"/>
        <rFont val="ＭＳ 明朝"/>
        <family val="1"/>
        <charset val="128"/>
      </rPr>
      <t>頭）を達成していない。</t>
    </r>
  </si>
  <si>
    <t>（２）管理目標（目標個体数）</t>
  </si>
  <si>
    <r>
      <t>・令和２年度の推定生息数（</t>
    </r>
    <r>
      <rPr>
        <sz val="11"/>
        <rFont val="Times New Roman"/>
        <family val="1"/>
      </rPr>
      <t>96,000</t>
    </r>
    <r>
      <rPr>
        <sz val="11"/>
        <rFont val="ＭＳ 明朝"/>
        <family val="1"/>
        <charset val="128"/>
      </rPr>
      <t>頭）を令和８年度に半減する。</t>
    </r>
  </si>
  <si>
    <r>
      <t xml:space="preserve">  </t>
    </r>
    <r>
      <rPr>
        <sz val="10"/>
        <rFont val="ＭＳ 明朝"/>
        <family val="1"/>
        <charset val="128"/>
      </rPr>
      <t>注：第二種特定鳥獣管理計画における管理の目標について、これまでの捕獲数や被害状況、生息数推定の結果等からニホンジカやイノシシがどういった生息状況（増　　加、横ばい、減少）となっており、今後、個体数を管理（又は半減）するための目標個体数等を記入すること。</t>
    </r>
  </si>
  <si>
    <t>　　（参考）目標生息数の達成に向けた捕獲頭数</t>
  </si>
  <si>
    <t xml:space="preserve">              </t>
  </si>
  <si>
    <t>鳥獣名</t>
  </si>
  <si>
    <t>推定生息数</t>
  </si>
  <si>
    <t>都道府県全体の年間捕獲目標頭数</t>
  </si>
  <si>
    <t>令和８年度</t>
  </si>
  <si>
    <t>（令和２年度）</t>
  </si>
  <si>
    <t>の目標生息数</t>
  </si>
  <si>
    <t>令和　年度</t>
  </si>
  <si>
    <r>
      <t>約</t>
    </r>
    <r>
      <rPr>
        <sz val="11"/>
        <rFont val="Times New Roman"/>
        <family val="1"/>
      </rPr>
      <t>96,000</t>
    </r>
    <r>
      <rPr>
        <sz val="11"/>
        <rFont val="ＭＳ 明朝"/>
        <family val="1"/>
        <charset val="128"/>
      </rPr>
      <t>頭</t>
    </r>
  </si>
  <si>
    <r>
      <t>ﾒｽ：</t>
    </r>
    <r>
      <rPr>
        <sz val="11"/>
        <rFont val="Times New Roman"/>
        <family val="1"/>
      </rPr>
      <t>15,000</t>
    </r>
    <r>
      <rPr>
        <sz val="11"/>
        <rFont val="ＭＳ 明朝"/>
        <family val="1"/>
        <charset val="128"/>
      </rPr>
      <t>頭</t>
    </r>
  </si>
  <si>
    <r>
      <t>約</t>
    </r>
    <r>
      <rPr>
        <sz val="11"/>
        <rFont val="Times New Roman"/>
        <family val="1"/>
      </rPr>
      <t>48,000</t>
    </r>
    <r>
      <rPr>
        <sz val="11"/>
        <rFont val="ＭＳ 明朝"/>
        <family val="1"/>
        <charset val="128"/>
      </rPr>
      <t>頭</t>
    </r>
  </si>
  <si>
    <r>
      <t>ｵｽ：</t>
    </r>
    <r>
      <rPr>
        <sz val="11"/>
        <rFont val="Times New Roman"/>
        <family val="1"/>
      </rPr>
      <t>11,000</t>
    </r>
    <r>
      <rPr>
        <sz val="11"/>
        <rFont val="ＭＳ 明朝"/>
        <family val="1"/>
        <charset val="128"/>
      </rPr>
      <t>頭</t>
    </r>
  </si>
  <si>
    <t>５　指定管理鳥獣捕獲等事業実施計画に定める指定管理鳥獣捕獲等事業の目標及び設定の考え方</t>
  </si>
  <si>
    <t>（１）目標（予定）</t>
  </si>
  <si>
    <t>　　舞鶴市神崎区域：１５頭、丹後由良区域：６５頭</t>
  </si>
  <si>
    <t>（２）目標設定の考え方</t>
  </si>
  <si>
    <t>実施区域における推定生息数の半減</t>
  </si>
  <si>
    <r>
      <t xml:space="preserve">  </t>
    </r>
    <r>
      <rPr>
        <sz val="10"/>
        <rFont val="ＭＳ 明朝"/>
        <family val="1"/>
        <charset val="128"/>
      </rPr>
      <t>注１：目標については、捕獲数等の具体的な数値を記入すること。</t>
    </r>
  </si>
  <si>
    <t>　注２：目標設定の考え方については、都道府県全体の計画捕獲数、国の他の事業、都道府県事業及び狩猟による捕獲数との関係も含めて記載すること。</t>
  </si>
  <si>
    <t>６　他の施策との調整・連携についての考え方</t>
  </si>
  <si>
    <t>農林水産省（鳥獣被害防止総合対策交付金）事業を活用した被害防止捕獲による捕獲経費支援、府事業による狩猟期間のシカ捕獲強化対策などの取り組みを実施しているにもかかわらず、生息密度が高い地域について指定管理鳥獣捕獲等事業を実施し、防除対策（防護柵の設置や生息地管理）とあわせて農林業被害の低減を目指すとともに、個体数削減による下層植生の保護等を図る。</t>
  </si>
  <si>
    <r>
      <t xml:space="preserve">  </t>
    </r>
    <r>
      <rPr>
        <sz val="11"/>
        <rFont val="ＭＳ 明朝"/>
        <family val="1"/>
        <charset val="128"/>
      </rPr>
      <t>注：鳥獣被害防止特別措置法第７条の３に基づく、指定管理鳥獣捕獲等事業と市町村の被害防止計画に基づく被害防止施策等の他の施策との連携等に　　ついて記入すること。</t>
    </r>
  </si>
  <si>
    <t>第２　事業の実施内容</t>
  </si>
  <si>
    <t>　１　指定管理鳥獣捕獲等事業の実施体制　</t>
  </si>
  <si>
    <t>・実施主体：京都府（農林水産部農村振興課・地方機関鳥獣担当）</t>
  </si>
  <si>
    <t>・実施方法：（捕獲・調査）認定鳥獣捕獲等事業者への委託</t>
  </si>
  <si>
    <r>
      <t>　　　　　　（</t>
    </r>
    <r>
      <rPr>
        <sz val="11"/>
        <rFont val="Times New Roman"/>
        <family val="1"/>
      </rPr>
      <t xml:space="preserve"> </t>
    </r>
    <r>
      <rPr>
        <sz val="11"/>
        <rFont val="ＭＳ 明朝"/>
        <family val="1"/>
        <charset val="128"/>
      </rPr>
      <t>地元調整</t>
    </r>
    <r>
      <rPr>
        <sz val="11"/>
        <rFont val="Times New Roman"/>
        <family val="1"/>
      </rPr>
      <t xml:space="preserve"> </t>
    </r>
    <r>
      <rPr>
        <sz val="11"/>
        <rFont val="ＭＳ 明朝"/>
        <family val="1"/>
        <charset val="128"/>
      </rPr>
      <t>）関係市を通じて地元自治体に連絡。代表者への説明会や地域住民への説明チラシ配布により、事業の周知を図る。</t>
    </r>
  </si>
  <si>
    <r>
      <t xml:space="preserve">  </t>
    </r>
    <r>
      <rPr>
        <sz val="11"/>
        <rFont val="ＭＳ 明朝"/>
        <family val="1"/>
        <charset val="128"/>
      </rPr>
      <t>注１：指定管理鳥獣捕獲等事業を実施するに当たって、都道府県における関係部局等を含めた実施体制について記入すること。</t>
    </r>
  </si>
  <si>
    <t>　注２：実施体制図等がある場合は、添付すること。</t>
  </si>
  <si>
    <t>　２　指定管理鳥獣捕獲等事業の実施区域及びその状況</t>
  </si>
  <si>
    <t>　　（指定管理鳥獣名：ニホンジカ）</t>
  </si>
  <si>
    <t>実施区域</t>
  </si>
  <si>
    <t>住所等</t>
  </si>
  <si>
    <t>実施区域の状況（地形、被害状況、区域の選定理由等）</t>
  </si>
  <si>
    <t>・本体事業：舞鶴市神崎区域</t>
  </si>
  <si>
    <t>・舞鶴市神崎区域（舞鶴市油江等）</t>
  </si>
  <si>
    <t>生息頭数が多いにもかかわらず、捕獲圧が低く、地元から捕獲要望が高い地域である。</t>
  </si>
  <si>
    <t>・市町村連携：丹後由良区域</t>
  </si>
  <si>
    <t>・丹後由良区域（宮津市石浦等、舞鶴市長谷等）</t>
  </si>
  <si>
    <r>
      <t xml:space="preserve"> </t>
    </r>
    <r>
      <rPr>
        <sz val="10"/>
        <rFont val="ＭＳ 明朝"/>
        <family val="1"/>
        <charset val="128"/>
      </rPr>
      <t>注１：指定管理鳥獣の種別に作成してください。</t>
    </r>
  </si>
  <si>
    <r>
      <t xml:space="preserve"> </t>
    </r>
    <r>
      <rPr>
        <sz val="10"/>
        <rFont val="ＭＳ 明朝"/>
        <family val="1"/>
        <charset val="128"/>
      </rPr>
      <t>注２：指定管理鳥獣捕獲等事業実施計画で定めた実施区域のうち交付金事業の対象とする実施区域について記入すること。実施区域が調整段階にある場合は、調整中　　　の区域について記入すること。</t>
    </r>
  </si>
  <si>
    <r>
      <t xml:space="preserve"> </t>
    </r>
    <r>
      <rPr>
        <sz val="10"/>
        <rFont val="ＭＳ 明朝"/>
        <family val="1"/>
        <charset val="128"/>
      </rPr>
      <t>注３：夜間銃猟を実施する場合は、それが分かるように記載すること。</t>
    </r>
  </si>
  <si>
    <t>３　詳細計画（ニホンジカ及びイノシシの両方を事業対象とする場合は、それぞれ分けて作成すること。）</t>
  </si>
  <si>
    <t>（１）指定管理鳥獣捕獲等事業実施計画策定等事業</t>
  </si>
  <si>
    <t>　　　ア　指定管理鳥獣捕獲等事業に係る実施計画の検討及び策定</t>
  </si>
  <si>
    <t>①　検討会等の開催</t>
  </si>
  <si>
    <t>検討会名</t>
  </si>
  <si>
    <t>開催時期</t>
  </si>
  <si>
    <t>開催回数</t>
  </si>
  <si>
    <t>参集範囲</t>
  </si>
  <si>
    <t>検討内容</t>
  </si>
  <si>
    <t>打合会議</t>
  </si>
  <si>
    <t>令和５年６月</t>
  </si>
  <si>
    <t>２回程度</t>
  </si>
  <si>
    <t>捕獲実施区域の市、府農村振興課・地方機関</t>
  </si>
  <si>
    <t>・事業実施時期等</t>
  </si>
  <si>
    <t>～令和５年８月</t>
  </si>
  <si>
    <t>・安全対策・地元への周知方法等</t>
  </si>
  <si>
    <r>
      <t xml:space="preserve"> </t>
    </r>
    <r>
      <rPr>
        <sz val="10"/>
        <rFont val="ＭＳ 明朝"/>
        <family val="1"/>
        <charset val="128"/>
      </rPr>
      <t>注：開催時期又は検討会の種類毎に記入すること。なお、専門家等にヒアリングを実施する場合もヒアリング内容を記入すること。</t>
    </r>
  </si>
  <si>
    <t>②　指定管理鳥獣捕獲等事業実施計画の策定又は変更の時期</t>
  </si>
  <si>
    <r>
      <t xml:space="preserve">          </t>
    </r>
    <r>
      <rPr>
        <sz val="11"/>
        <rFont val="ＭＳ 明朝"/>
        <family val="1"/>
        <charset val="128"/>
      </rPr>
      <t>令和　５年９月（策定又は変更）</t>
    </r>
  </si>
  <si>
    <r>
      <t xml:space="preserve"> </t>
    </r>
    <r>
      <rPr>
        <sz val="10"/>
        <rFont val="ＭＳ 明朝"/>
        <family val="1"/>
        <charset val="128"/>
      </rPr>
      <t>注：見直し又は策定予定時期を記入すること。（　　）内のどちらかに○をすること。</t>
    </r>
  </si>
  <si>
    <t>イ　指定管理鳥獣捕獲等事業実施計画の策定に必要な指定管理鳥獣の生息状況、被害状況等の調査</t>
  </si>
  <si>
    <t>実施時期</t>
  </si>
  <si>
    <t>委託先等</t>
  </si>
  <si>
    <t>調査内容</t>
  </si>
  <si>
    <t>令和５年４月</t>
  </si>
  <si>
    <t>認定事業体</t>
  </si>
  <si>
    <t>・生息状況調査（センサーカメラ調査による生息数推定、糞塊密度調査による密度指標算定）</t>
  </si>
  <si>
    <t>～９月</t>
  </si>
  <si>
    <t>（調査会社）</t>
  </si>
  <si>
    <t>・被害量調査及び解析</t>
  </si>
  <si>
    <r>
      <t xml:space="preserve"> </t>
    </r>
    <r>
      <rPr>
        <sz val="10"/>
        <rFont val="ＭＳ 明朝"/>
        <family val="1"/>
        <charset val="128"/>
      </rPr>
      <t>注：調査の実施時期、委託先等、種類、手法等について具体的に記入すること。</t>
    </r>
  </si>
  <si>
    <t>ウ　指定管理鳥獣の捕獲情報の収集、整理・分析</t>
  </si>
  <si>
    <t>捕獲情報の種類、分析手法、検討方法等</t>
  </si>
  <si>
    <t>令和５年７月</t>
  </si>
  <si>
    <t>直営</t>
  </si>
  <si>
    <t>狩猟メッシュごとに捕獲情報を整理</t>
  </si>
  <si>
    <t>～令和５年９月</t>
  </si>
  <si>
    <r>
      <t xml:space="preserve"> </t>
    </r>
    <r>
      <rPr>
        <sz val="10"/>
        <rFont val="ＭＳ 明朝"/>
        <family val="1"/>
        <charset val="128"/>
      </rPr>
      <t>注：実施時期、委託先等、収集する情報の種類、分析手法、検討方法等について具体的に記入すること。</t>
    </r>
  </si>
  <si>
    <t>エ　事業の評価・検証</t>
  </si>
  <si>
    <t>①　検討会の開催</t>
  </si>
  <si>
    <t>事業評価会議</t>
  </si>
  <si>
    <t>令和６年３月</t>
  </si>
  <si>
    <t>１回程度</t>
  </si>
  <si>
    <t>鳥獣保護管理プランナー等</t>
  </si>
  <si>
    <t>農村振興課</t>
  </si>
  <si>
    <t>捕獲効果の評価・報告</t>
  </si>
  <si>
    <t>　注１：開催時期別に検討内容等を記入すること。</t>
  </si>
  <si>
    <t>　注２：参集範囲には、専門的な知識や経験を有する第三者を入れること。</t>
  </si>
  <si>
    <t>②　事業の評価・検証</t>
  </si>
  <si>
    <t>評価・検証内容</t>
  </si>
  <si>
    <t>令和６年２月</t>
  </si>
  <si>
    <t>２カ年の捕獲を計画しているため、令和５年度は捕獲の進捗をとりまとめる。</t>
  </si>
  <si>
    <t>～令和６年３月</t>
  </si>
  <si>
    <t>令和６年度に、センサーカメラ調査を実施し、生息状況を把握する。</t>
  </si>
  <si>
    <t>　注：指定管理鳥獣捕獲等事業実施計画の目標の達成状況、第二種特定鳥獣管理計画の目標に対する寄与度、指定管理鳥獣捕獲等事業の効果及び妥当性、次年度の指　　　定管理鳥獣捕獲等事業実施計画の策定に向けて改善すべき事項に係る評価・検証方法等について具体的に記入すること。</t>
  </si>
  <si>
    <t>（２）指定管理鳥獣捕獲等事業</t>
  </si>
  <si>
    <r>
      <t xml:space="preserve">    </t>
    </r>
    <r>
      <rPr>
        <sz val="11"/>
        <rFont val="ＭＳ 明朝"/>
        <family val="1"/>
        <charset val="128"/>
      </rPr>
      <t>ア</t>
    </r>
    <r>
      <rPr>
        <sz val="11"/>
        <rFont val="Times New Roman"/>
        <family val="1"/>
      </rPr>
      <t xml:space="preserve">  </t>
    </r>
    <r>
      <rPr>
        <sz val="11"/>
        <rFont val="ＭＳ 明朝"/>
        <family val="1"/>
        <charset val="128"/>
      </rPr>
      <t>捕獲等の実施内容</t>
    </r>
  </si>
  <si>
    <t>実施地域</t>
  </si>
  <si>
    <t>捕獲目標</t>
  </si>
  <si>
    <t>委託先又は直営</t>
  </si>
  <si>
    <t>舞鶴市神崎地域</t>
  </si>
  <si>
    <r>
      <t>令和５年９月</t>
    </r>
    <r>
      <rPr>
        <sz val="11"/>
        <rFont val="Times New Roman"/>
        <family val="1"/>
      </rPr>
      <t xml:space="preserve"> </t>
    </r>
    <r>
      <rPr>
        <sz val="11"/>
        <rFont val="ＭＳ 明朝"/>
        <family val="1"/>
        <charset val="128"/>
      </rPr>
      <t>～</t>
    </r>
    <r>
      <rPr>
        <sz val="11"/>
        <rFont val="Times New Roman"/>
        <family val="1"/>
      </rPr>
      <t xml:space="preserve"> </t>
    </r>
    <r>
      <rPr>
        <sz val="11"/>
        <rFont val="ＭＳ 明朝"/>
        <family val="1"/>
        <charset val="128"/>
      </rPr>
      <t>令和６年２月</t>
    </r>
  </si>
  <si>
    <t>１５頭</t>
  </si>
  <si>
    <t>認定事業体に委託</t>
  </si>
  <si>
    <t>捕獲方法、搬出・処分方法</t>
  </si>
  <si>
    <t>捕獲に付随する取組等</t>
  </si>
  <si>
    <t>捕獲方法：わな</t>
  </si>
  <si>
    <t>・処分方法：原則、捕獲区域内で埋設</t>
  </si>
  <si>
    <r>
      <t xml:space="preserve"> </t>
    </r>
    <r>
      <rPr>
        <sz val="10"/>
        <rFont val="ＭＳ 明朝"/>
        <family val="1"/>
        <charset val="128"/>
      </rPr>
      <t>　注１：夜間銃猟及び捕獲個体の放置を実施する場合は、別紙１の「○○都道府県における夜間銃猟に関する計画」及び別紙２の「○○都道府県における捕獲個体の</t>
    </r>
  </si>
  <si>
    <r>
      <t>　　</t>
    </r>
    <r>
      <rPr>
        <sz val="10"/>
        <rFont val="Times New Roman"/>
        <family val="1"/>
      </rPr>
      <t xml:space="preserve"> </t>
    </r>
    <r>
      <rPr>
        <sz val="10"/>
        <rFont val="ＭＳ 明朝"/>
        <family val="1"/>
        <charset val="128"/>
      </rPr>
      <t>放置に関する計画」を添付すること。</t>
    </r>
  </si>
  <si>
    <t>注２：豚熱対策として防疫措置が図られた野生イノシシの捕獲を実施する場合は、捕獲の際に実施する具体的な防疫措置を「捕獲に付随する取組等」に記載すること。</t>
  </si>
  <si>
    <r>
      <t>　</t>
    </r>
    <r>
      <rPr>
        <sz val="11"/>
        <rFont val="Times New Roman"/>
        <family val="1"/>
      </rPr>
      <t xml:space="preserve"> </t>
    </r>
    <r>
      <rPr>
        <sz val="10"/>
        <rFont val="ＭＳ 明朝"/>
        <family val="1"/>
        <charset val="128"/>
      </rPr>
      <t>注３：実施地域の図面を添付すること。</t>
    </r>
  </si>
  <si>
    <t>　　イ　捕獲個体の食肉等への有効利用（実施する場合に記載）</t>
  </si>
  <si>
    <r>
      <t xml:space="preserve">  </t>
    </r>
    <r>
      <rPr>
        <sz val="11"/>
        <rFont val="ＭＳ 明朝"/>
        <family val="1"/>
        <charset val="128"/>
      </rPr>
      <t>注：捕獲個体を食肉等として有効利用する実施体制や方法等について記載すること。</t>
    </r>
  </si>
  <si>
    <t>（３）効果的捕獲促進事業</t>
  </si>
  <si>
    <t>　　ア　効果的捕獲モデル・技術開発タイプ</t>
  </si>
  <si>
    <r>
      <t xml:space="preserve">      </t>
    </r>
    <r>
      <rPr>
        <sz val="11"/>
        <rFont val="ＭＳ 明朝"/>
        <family val="1"/>
        <charset val="128"/>
      </rPr>
      <t>①　検討会の開催</t>
    </r>
  </si>
  <si>
    <t>令和　　年　　月</t>
  </si>
  <si>
    <t>②　新技術の地域実証</t>
  </si>
  <si>
    <t>実証技術名</t>
  </si>
  <si>
    <t>対象鳥獣</t>
  </si>
  <si>
    <t>地域実証の概要・実施体制</t>
  </si>
  <si>
    <t>③　技術開発の概要　　</t>
  </si>
  <si>
    <t>開発技術名</t>
  </si>
  <si>
    <t>開発技術の概要・実施体制</t>
  </si>
  <si>
    <t>④　地域実証の効果又は開発する技術の検証・評価方法</t>
  </si>
  <si>
    <t>　注：地域実証の効果測定に必要なデータ収集（調査項目、調査方法）、実証結果又は開発技術の分析・評価方法について記入すること。</t>
  </si>
  <si>
    <r>
      <t xml:space="preserve">      </t>
    </r>
    <r>
      <rPr>
        <sz val="11"/>
        <rFont val="ＭＳ 明朝"/>
        <family val="1"/>
        <charset val="128"/>
      </rPr>
      <t>⑤　地域実証又は開発する技術の普及方法</t>
    </r>
  </si>
  <si>
    <t>　注：地域実証又は開発した技術の普及方法について記入すること。</t>
  </si>
  <si>
    <t>　　イ　市町村連携タイプ</t>
  </si>
  <si>
    <t>１～２回</t>
  </si>
  <si>
    <t>府農村振興課・他地方機関、舞鶴市、宮津市</t>
  </si>
  <si>
    <t>事業実施内容、地元調整の役割分担について</t>
  </si>
  <si>
    <t>程度</t>
  </si>
  <si>
    <t>②　取組の概要</t>
  </si>
  <si>
    <t>府が事務局となり、事業実施箇所選定や事業実施箇所周辺の住民との連絡調整等、府のみでは対応が困難な事柄について両市の協力を得る。両市は、ニホンジカの密度が高いが、狩猟や被害防止捕獲といった既存の捕獲が進まない場所又は捕獲数が不十分な場所において、認定鳥獣捕獲等事業者等を活用する本事業で捕獲を進める。また、事業実施地域において事業後に必要な防除対策について地域を交えて検討し、実行できるよう支援する。</t>
  </si>
  <si>
    <t>　注１：既に規約の定めがある場合は、添付すること。</t>
  </si>
  <si>
    <t>③　捕獲効果の検証・評価の方法</t>
  </si>
  <si>
    <t>両市と連携して立ち上げた協議会において、府が委託して実施する捕獲効果検証業務についての助言を得る。また、府が委託して実施する捕獲効果検証・評価業務の結果について、当該協議会において報告する。また、当該地域の自治会長等地域の方々へ事業の結果を報告し、地域での被害感と齟齬がないか、齟齬があればその原因を検討し、今後の事業実施の一助とする。</t>
  </si>
  <si>
    <t>　　ウ　広域連携タイプ</t>
  </si>
  <si>
    <r>
      <t xml:space="preserve">   </t>
    </r>
    <r>
      <rPr>
        <sz val="11"/>
        <rFont val="ＭＳ 明朝"/>
        <family val="1"/>
        <charset val="128"/>
      </rPr>
      <t>　①</t>
    </r>
    <r>
      <rPr>
        <sz val="11"/>
        <rFont val="Times New Roman"/>
        <family val="1"/>
      </rPr>
      <t xml:space="preserve">  </t>
    </r>
    <r>
      <rPr>
        <sz val="11"/>
        <rFont val="ＭＳ 明朝"/>
        <family val="1"/>
        <charset val="128"/>
      </rPr>
      <t>捕獲等の実施内容</t>
    </r>
  </si>
  <si>
    <r>
      <t>令和　年　月</t>
    </r>
    <r>
      <rPr>
        <sz val="11"/>
        <rFont val="Times New Roman"/>
        <family val="1"/>
      </rPr>
      <t xml:space="preserve"> </t>
    </r>
    <r>
      <rPr>
        <sz val="11"/>
        <rFont val="ＭＳ 明朝"/>
        <family val="1"/>
        <charset val="128"/>
      </rPr>
      <t>～令和　年　　月</t>
    </r>
  </si>
  <si>
    <t>注１：実施地域は、広域連携を図る複数の都道府県及び地域を記載すること（例：○○地域、○○山（○○県側）等）。</t>
  </si>
  <si>
    <t>注２：実施地域ごとに、本事業で捕獲等を行う地域とその実施内容、他事業を活用し捕獲を行う地域がある場合は地域名と事業名及びその実施内容（概要）をそれぞれ記載すること。</t>
  </si>
  <si>
    <t>注３：実施地域の図面を添付すること。</t>
  </si>
  <si>
    <t>（４）認定鳥獣捕獲等事業者等の育成</t>
  </si>
  <si>
    <t>具体的な取組内容</t>
  </si>
  <si>
    <t>（５）ジビエ利用拡大を考慮した狩猟者の育成</t>
  </si>
  <si>
    <t xml:space="preserve"> </t>
  </si>
  <si>
    <t>（６）ジビエ利用拡大等のための狩猟捕獲支援</t>
  </si>
  <si>
    <r>
      <t xml:space="preserve"> </t>
    </r>
    <r>
      <rPr>
        <sz val="11"/>
        <rFont val="ＭＳ 明朝"/>
        <family val="1"/>
        <charset val="128"/>
      </rPr>
      <t>　</t>
    </r>
    <r>
      <rPr>
        <sz val="11"/>
        <rFont val="Times New Roman"/>
        <family val="1"/>
      </rPr>
      <t xml:space="preserve"> </t>
    </r>
    <r>
      <rPr>
        <sz val="11"/>
        <rFont val="ＭＳ 明朝"/>
        <family val="1"/>
        <charset val="128"/>
      </rPr>
      <t>ア　狩猟捕獲経費の支援　　</t>
    </r>
  </si>
  <si>
    <t>対象鳥獣及び支援する捕獲数</t>
  </si>
  <si>
    <t>狩猟による対象鳥獣の捕獲実績</t>
  </si>
  <si>
    <t>・対象鳥獣：ニホンジカ</t>
  </si>
  <si>
    <t>捕獲確認：処理加工施設へ依頼</t>
  </si>
  <si>
    <r>
      <t>H30</t>
    </r>
    <r>
      <rPr>
        <sz val="11"/>
        <rFont val="ＭＳ 明朝"/>
        <family val="1"/>
        <charset val="128"/>
      </rPr>
      <t>：</t>
    </r>
    <r>
      <rPr>
        <sz val="11"/>
        <rFont val="Times New Roman"/>
        <family val="1"/>
      </rPr>
      <t>7,353</t>
    </r>
    <r>
      <rPr>
        <sz val="11"/>
        <rFont val="ＭＳ 明朝"/>
        <family val="1"/>
        <charset val="128"/>
      </rPr>
      <t>頭、　</t>
    </r>
    <r>
      <rPr>
        <sz val="11"/>
        <rFont val="Times New Roman"/>
        <family val="1"/>
      </rPr>
      <t>R1</t>
    </r>
    <r>
      <rPr>
        <sz val="11"/>
        <rFont val="ＭＳ 明朝"/>
        <family val="1"/>
        <charset val="128"/>
      </rPr>
      <t>：</t>
    </r>
    <r>
      <rPr>
        <sz val="11"/>
        <rFont val="Times New Roman"/>
        <family val="1"/>
      </rPr>
      <t>7,738</t>
    </r>
    <r>
      <rPr>
        <sz val="11"/>
        <rFont val="ＭＳ 明朝"/>
        <family val="1"/>
        <charset val="128"/>
      </rPr>
      <t>頭</t>
    </r>
  </si>
  <si>
    <r>
      <t>・支援捕獲数：約</t>
    </r>
    <r>
      <rPr>
        <sz val="11"/>
        <rFont val="Times New Roman"/>
        <family val="1"/>
      </rPr>
      <t>500</t>
    </r>
    <r>
      <rPr>
        <sz val="11"/>
        <rFont val="ＭＳ 明朝"/>
        <family val="1"/>
        <charset val="128"/>
      </rPr>
      <t>頭</t>
    </r>
  </si>
  <si>
    <t>支払：委託</t>
  </si>
  <si>
    <r>
      <t>R2</t>
    </r>
    <r>
      <rPr>
        <sz val="11"/>
        <rFont val="ＭＳ 明朝"/>
        <family val="1"/>
        <charset val="128"/>
      </rPr>
      <t>：</t>
    </r>
    <r>
      <rPr>
        <sz val="11"/>
        <rFont val="Times New Roman"/>
        <family val="1"/>
      </rPr>
      <t>8,126</t>
    </r>
    <r>
      <rPr>
        <sz val="11"/>
        <rFont val="ＭＳ 明朝"/>
        <family val="1"/>
        <charset val="128"/>
      </rPr>
      <t>頭、</t>
    </r>
    <r>
      <rPr>
        <sz val="11"/>
        <rFont val="Times New Roman"/>
        <family val="1"/>
      </rPr>
      <t>R3</t>
    </r>
    <r>
      <rPr>
        <sz val="11"/>
        <rFont val="ＭＳ 明朝"/>
        <family val="1"/>
        <charset val="128"/>
      </rPr>
      <t>：</t>
    </r>
    <r>
      <rPr>
        <sz val="11"/>
        <rFont val="Times New Roman"/>
        <family val="1"/>
      </rPr>
      <t>7,978</t>
    </r>
    <r>
      <rPr>
        <sz val="11"/>
        <rFont val="ＭＳ 明朝"/>
        <family val="1"/>
        <charset val="128"/>
      </rPr>
      <t>頭</t>
    </r>
  </si>
  <si>
    <t>　注：狩猟による対象鳥獣の捕獲実績欄には、把握できている直近２か年の狩猟による捕獲実績を対象鳥獣別に記載する。</t>
  </si>
  <si>
    <t>　　イ　処理加工施設による狩猟者指導及び廃棄物処理経費等の支援</t>
  </si>
  <si>
    <t>取組内容</t>
  </si>
  <si>
    <t>委託先</t>
  </si>
  <si>
    <t>受け入れる捕獲個体数</t>
  </si>
  <si>
    <t>・狩猟者指導：チラシ作成・配布、研修会等</t>
  </si>
  <si>
    <t>処理加工施設</t>
  </si>
  <si>
    <r>
      <t>約</t>
    </r>
    <r>
      <rPr>
        <sz val="11"/>
        <rFont val="Times New Roman"/>
        <family val="1"/>
      </rPr>
      <t>746</t>
    </r>
    <r>
      <rPr>
        <sz val="11"/>
        <rFont val="ＭＳ 明朝"/>
        <family val="1"/>
        <charset val="128"/>
      </rPr>
      <t>頭（</t>
    </r>
    <r>
      <rPr>
        <sz val="11"/>
        <rFont val="Times New Roman"/>
        <family val="1"/>
      </rPr>
      <t>H28</t>
    </r>
    <r>
      <rPr>
        <sz val="11"/>
        <rFont val="ＭＳ 明朝"/>
        <family val="1"/>
        <charset val="128"/>
      </rPr>
      <t>実績）</t>
    </r>
  </si>
  <si>
    <t>　注：取組内容の欄には、施設へ捕獲個体の持ち込みを行う狩猟者への指導方法（講習会開催など）や廃棄物処理見込量等を記載する。</t>
  </si>
  <si>
    <t>ウ　捕獲強化のための狩猟捕獲経費補助</t>
  </si>
  <si>
    <t>注：狩猟による対象鳥獣の捕獲実績欄には、把握できている直近２か年の狩猟による捕獲実績を対象鳥獣別に記載する。</t>
  </si>
  <si>
    <t>　　エ　処分施設等による捕獲個体の処分経費等の支援</t>
  </si>
  <si>
    <t>処分する捕獲個体数</t>
  </si>
  <si>
    <t>注：取組内容の欄には、処分場等へ捕獲個体の持ち込みを行うなどの処分方法（焼却・埋設等）及び処分見込量等を記載する。</t>
  </si>
  <si>
    <t>４　その他</t>
  </si>
  <si>
    <t>注１：交付金事業の実施に当たって、本事業で利用する施設等での再生可能エネルギーの利用や電気自動車の活用等、二酸化炭素排出量削減に資する取組を記載する。</t>
  </si>
  <si>
    <t>注２：その他（注１以外）に記載すべき事項がある場合は記載する。</t>
  </si>
  <si>
    <t>打合会議</t>
    <rPh sb="0" eb="2">
      <t>ウチア</t>
    </rPh>
    <rPh sb="2" eb="4">
      <t>カイギ</t>
    </rPh>
    <phoneticPr fontId="7"/>
  </si>
  <si>
    <t>旅費</t>
    <rPh sb="0" eb="2">
      <t>リョヒ</t>
    </rPh>
    <phoneticPr fontId="7"/>
  </si>
  <si>
    <t>狩猟捕獲経費支援</t>
  </si>
  <si>
    <t>令和５年度野生鳥獣（ニホンジカ）生息動態調査</t>
    <rPh sb="0" eb="2">
      <t>レイワ</t>
    </rPh>
    <rPh sb="3" eb="5">
      <t>ネンド</t>
    </rPh>
    <rPh sb="5" eb="7">
      <t>ヤセイ</t>
    </rPh>
    <rPh sb="7" eb="9">
      <t>チョウジュウ</t>
    </rPh>
    <rPh sb="16" eb="18">
      <t>セイソク</t>
    </rPh>
    <rPh sb="18" eb="20">
      <t>ドウタイ</t>
    </rPh>
    <rPh sb="20" eb="22">
      <t>チョウサ</t>
    </rPh>
    <phoneticPr fontId="7"/>
  </si>
  <si>
    <t>直接調査費</t>
    <rPh sb="0" eb="2">
      <t>チョクセツ</t>
    </rPh>
    <rPh sb="2" eb="5">
      <t>チョウサヒ</t>
    </rPh>
    <phoneticPr fontId="7"/>
  </si>
  <si>
    <t>糞塊密度調査</t>
    <rPh sb="0" eb="1">
      <t>フン</t>
    </rPh>
    <rPh sb="1" eb="2">
      <t>カイ</t>
    </rPh>
    <rPh sb="2" eb="4">
      <t>ミツド</t>
    </rPh>
    <rPh sb="4" eb="6">
      <t>チョウサ</t>
    </rPh>
    <phoneticPr fontId="7"/>
  </si>
  <si>
    <t>材料費・機械経費</t>
    <rPh sb="0" eb="3">
      <t>ザイリョウヒ</t>
    </rPh>
    <rPh sb="4" eb="6">
      <t>キカイ</t>
    </rPh>
    <rPh sb="6" eb="8">
      <t>ケイヒ</t>
    </rPh>
    <phoneticPr fontId="7"/>
  </si>
  <si>
    <t>糞塊密度調査</t>
    <rPh sb="0" eb="1">
      <t>フン</t>
    </rPh>
    <rPh sb="1" eb="2">
      <t>カタマリ</t>
    </rPh>
    <rPh sb="2" eb="4">
      <t>ミツド</t>
    </rPh>
    <rPh sb="4" eb="6">
      <t>チョウサ</t>
    </rPh>
    <phoneticPr fontId="7"/>
  </si>
  <si>
    <t>使用料等</t>
    <rPh sb="0" eb="3">
      <t>シヨウリョウ</t>
    </rPh>
    <rPh sb="3" eb="4">
      <t>トウ</t>
    </rPh>
    <phoneticPr fontId="7"/>
  </si>
  <si>
    <t>令和3年度（12月改定）</t>
    <rPh sb="0" eb="2">
      <t>レイワ</t>
    </rPh>
    <rPh sb="3" eb="5">
      <t>ネンド</t>
    </rPh>
    <rPh sb="8" eb="9">
      <t>ガツ</t>
    </rPh>
    <rPh sb="9" eb="11">
      <t>カイテイ</t>
    </rPh>
    <phoneticPr fontId="7"/>
  </si>
  <si>
    <t>直接経費
（成果品制作費）</t>
    <rPh sb="0" eb="2">
      <t>チョクセツ</t>
    </rPh>
    <rPh sb="2" eb="4">
      <t>ケイヒ</t>
    </rPh>
    <rPh sb="6" eb="8">
      <t>セイカ</t>
    </rPh>
    <rPh sb="8" eb="9">
      <t>ヒン</t>
    </rPh>
    <rPh sb="9" eb="12">
      <t>セイサクヒ</t>
    </rPh>
    <phoneticPr fontId="7"/>
  </si>
  <si>
    <t>間接調査費</t>
    <rPh sb="0" eb="2">
      <t>カンセツ</t>
    </rPh>
    <rPh sb="2" eb="5">
      <t>チョウサヒ</t>
    </rPh>
    <phoneticPr fontId="7"/>
  </si>
  <si>
    <t>旅費交通費</t>
    <rPh sb="0" eb="2">
      <t>リョヒ</t>
    </rPh>
    <rPh sb="2" eb="5">
      <t>コウツウヒ</t>
    </rPh>
    <phoneticPr fontId="7"/>
  </si>
  <si>
    <t>人件費＋直接経費</t>
    <rPh sb="0" eb="3">
      <t>ジンケンヒ</t>
    </rPh>
    <rPh sb="4" eb="6">
      <t>チョクセツ</t>
    </rPh>
    <rPh sb="6" eb="8">
      <t>ケイヒ</t>
    </rPh>
    <phoneticPr fontId="7"/>
  </si>
  <si>
    <t>50％以内、1,000円未満切捨</t>
    <rPh sb="3" eb="5">
      <t>イナイ</t>
    </rPh>
    <phoneticPr fontId="7"/>
  </si>
  <si>
    <t>人件費については、令和４年度(８月改訂版）土木工事単価資料による。</t>
    <rPh sb="9" eb="11">
      <t>レイワ</t>
    </rPh>
    <rPh sb="16" eb="17">
      <t>ガツ</t>
    </rPh>
    <rPh sb="17" eb="20">
      <t>カイテイバン</t>
    </rPh>
    <phoneticPr fontId="7"/>
  </si>
  <si>
    <t>諸経費については、治山林道必携（調査・測量・設計編）（令和４年版）を準用する。</t>
    <rPh sb="0" eb="3">
      <t>ショケイヒ</t>
    </rPh>
    <rPh sb="9" eb="11">
      <t>チサン</t>
    </rPh>
    <rPh sb="11" eb="13">
      <t>リンドウ</t>
    </rPh>
    <rPh sb="13" eb="15">
      <t>ヒッケイ</t>
    </rPh>
    <rPh sb="22" eb="24">
      <t>セッケイ</t>
    </rPh>
    <rPh sb="24" eb="25">
      <t>ヘン</t>
    </rPh>
    <rPh sb="27" eb="29">
      <t>レイワ</t>
    </rPh>
    <rPh sb="31" eb="32">
      <t>バン</t>
    </rPh>
    <rPh sb="34" eb="36">
      <t>ジュンヨウ</t>
    </rPh>
    <phoneticPr fontId="7"/>
  </si>
  <si>
    <t>50%上限</t>
    <rPh sb="3" eb="5">
      <t>ジョウゲン</t>
    </rPh>
    <phoneticPr fontId="7"/>
  </si>
  <si>
    <t>ﾊﾟｿｺﾝ使用料</t>
    <rPh sb="0" eb="8">
      <t>シヨウリョウ</t>
    </rPh>
    <phoneticPr fontId="7"/>
  </si>
  <si>
    <t>GIS使用料</t>
    <rPh sb="0" eb="6">
      <t>シヨウリョウ</t>
    </rPh>
    <phoneticPr fontId="7"/>
  </si>
  <si>
    <t>ハンディＧＰＳ使用料</t>
    <rPh sb="7" eb="10">
      <t>シヨウリョウ</t>
    </rPh>
    <phoneticPr fontId="7"/>
  </si>
  <si>
    <t>CSF対策費</t>
    <rPh sb="3" eb="5">
      <t>タイサク</t>
    </rPh>
    <rPh sb="5" eb="6">
      <t>ヒ</t>
    </rPh>
    <phoneticPr fontId="7"/>
  </si>
  <si>
    <t>計</t>
    <phoneticPr fontId="7"/>
  </si>
  <si>
    <t>※参考見積単価の０．５５</t>
    <phoneticPr fontId="7"/>
  </si>
  <si>
    <t>日当</t>
    <rPh sb="0" eb="2">
      <t>ニットウ</t>
    </rPh>
    <phoneticPr fontId="7"/>
  </si>
  <si>
    <t>日</t>
    <rPh sb="0" eb="1">
      <t>ヒ</t>
    </rPh>
    <phoneticPr fontId="7"/>
  </si>
  <si>
    <t>交通費（福知山）</t>
    <rPh sb="0" eb="3">
      <t>コウツウヒ</t>
    </rPh>
    <rPh sb="4" eb="7">
      <t>フクチヤマ</t>
    </rPh>
    <phoneticPr fontId="7"/>
  </si>
  <si>
    <t>京都～福知山：５台×往復×１回</t>
    <rPh sb="0" eb="2">
      <t>キョウト</t>
    </rPh>
    <rPh sb="2" eb="3">
      <t>ミヤキタ</t>
    </rPh>
    <rPh sb="3" eb="6">
      <t>フクチヤマ</t>
    </rPh>
    <rPh sb="8" eb="9">
      <t>ダイ</t>
    </rPh>
    <rPh sb="10" eb="12">
      <t>オウフク</t>
    </rPh>
    <rPh sb="14" eb="15">
      <t>カイ</t>
    </rPh>
    <phoneticPr fontId="7"/>
  </si>
  <si>
    <t>交通費（宇治田原）</t>
    <rPh sb="0" eb="3">
      <t>コウツウヒ</t>
    </rPh>
    <rPh sb="4" eb="8">
      <t>ウジタワラ</t>
    </rPh>
    <phoneticPr fontId="7"/>
  </si>
  <si>
    <t>京都～宇治田原：４台×往復×１回</t>
    <rPh sb="0" eb="2">
      <t>キョウト</t>
    </rPh>
    <rPh sb="2" eb="3">
      <t>ミヤキタ</t>
    </rPh>
    <rPh sb="3" eb="7">
      <t>ウジタワラ</t>
    </rPh>
    <rPh sb="9" eb="10">
      <t>ダイ</t>
    </rPh>
    <rPh sb="11" eb="13">
      <t>オウフク</t>
    </rPh>
    <rPh sb="15" eb="16">
      <t>カイ</t>
    </rPh>
    <phoneticPr fontId="7"/>
  </si>
  <si>
    <t>㍑</t>
    <phoneticPr fontId="7"/>
  </si>
  <si>
    <t xml:space="preserve">京都～宇治田原町：27km×往復÷14km/ℓ×４台回≒15ℓ
調査南部：15km÷14km/ℓ×往復×4台×2.5日≒21ℓ
</t>
    <rPh sb="0" eb="2">
      <t>キョウト</t>
    </rPh>
    <rPh sb="2" eb="3">
      <t>ミヤキタ</t>
    </rPh>
    <rPh sb="3" eb="8">
      <t>ウジタワラチョウ</t>
    </rPh>
    <rPh sb="25" eb="26">
      <t>ダイ</t>
    </rPh>
    <rPh sb="26" eb="27">
      <t>カイ</t>
    </rPh>
    <rPh sb="32" eb="34">
      <t>チョウサ</t>
    </rPh>
    <rPh sb="34" eb="36">
      <t>ナンブ</t>
    </rPh>
    <phoneticPr fontId="7"/>
  </si>
  <si>
    <t>車両損料</t>
    <rPh sb="0" eb="2">
      <t>シャリョウ</t>
    </rPh>
    <rPh sb="2" eb="4">
      <t>ソンリョウ</t>
    </rPh>
    <phoneticPr fontId="7"/>
  </si>
  <si>
    <t>通信費雑費</t>
    <rPh sb="0" eb="2">
      <t>ツウシン</t>
    </rPh>
    <rPh sb="2" eb="3">
      <t>ヒ</t>
    </rPh>
    <rPh sb="3" eb="5">
      <t>ザッピ</t>
    </rPh>
    <phoneticPr fontId="7"/>
  </si>
  <si>
    <t>事務費</t>
    <rPh sb="0" eb="3">
      <t>ジムヒ</t>
    </rPh>
    <phoneticPr fontId="7"/>
  </si>
  <si>
    <t>式</t>
    <rPh sb="0" eb="1">
      <t>シキ</t>
    </rPh>
    <phoneticPr fontId="7"/>
  </si>
  <si>
    <t>事務費等</t>
    <rPh sb="0" eb="4">
      <t>ジムヒトウ</t>
    </rPh>
    <phoneticPr fontId="7"/>
  </si>
  <si>
    <t>式</t>
    <rPh sb="0" eb="1">
      <t>シキ</t>
    </rPh>
    <phoneticPr fontId="7"/>
  </si>
  <si>
    <t>事務費</t>
    <rPh sb="0" eb="3">
      <t>ジムヒ</t>
    </rPh>
    <phoneticPr fontId="7"/>
  </si>
  <si>
    <t>舞鶴市</t>
    <rPh sb="0" eb="3">
      <t>マイヅルシ</t>
    </rPh>
    <phoneticPr fontId="7"/>
  </si>
  <si>
    <t>宮津市</t>
    <rPh sb="0" eb="3">
      <t>ミヤヅシ</t>
    </rPh>
    <phoneticPr fontId="7"/>
  </si>
  <si>
    <t>差額【計画申請事業費-積算合計】</t>
    <rPh sb="0" eb="2">
      <t>サガク</t>
    </rPh>
    <phoneticPr fontId="7"/>
  </si>
  <si>
    <t>諸経費率</t>
    <rPh sb="0" eb="3">
      <t>ショケイヒ</t>
    </rPh>
    <rPh sb="3" eb="4">
      <t>リツ</t>
    </rPh>
    <phoneticPr fontId="7"/>
  </si>
  <si>
    <t>備考</t>
    <rPh sb="0" eb="2">
      <t>ビコウ</t>
    </rPh>
    <phoneticPr fontId="7"/>
  </si>
  <si>
    <t>No.</t>
    <phoneticPr fontId="7"/>
  </si>
  <si>
    <t>P120-「令和５年度設計業務委託等技術者単価」抜粋／土木工事単価資料【土木工事編】【業務委託編】令和４年度（３月改訂版）</t>
    <rPh sb="6" eb="8">
      <t>レイワ</t>
    </rPh>
    <rPh sb="9" eb="11">
      <t>ネンド</t>
    </rPh>
    <rPh sb="11" eb="13">
      <t>セッケイ</t>
    </rPh>
    <rPh sb="13" eb="15">
      <t>ギョウム</t>
    </rPh>
    <rPh sb="15" eb="17">
      <t>イタク</t>
    </rPh>
    <rPh sb="17" eb="18">
      <t>トウ</t>
    </rPh>
    <rPh sb="18" eb="21">
      <t>ギジュツシャ</t>
    </rPh>
    <rPh sb="21" eb="23">
      <t>タンカ</t>
    </rPh>
    <rPh sb="24" eb="26">
      <t>バッスイ</t>
    </rPh>
    <rPh sb="27" eb="31">
      <t>ドボクコウジ</t>
    </rPh>
    <rPh sb="31" eb="35">
      <t>タンカシリョウ</t>
    </rPh>
    <rPh sb="36" eb="41">
      <t>ドボクコウジヘン</t>
    </rPh>
    <rPh sb="43" eb="45">
      <t>ギョウム</t>
    </rPh>
    <rPh sb="45" eb="47">
      <t>イタク</t>
    </rPh>
    <rPh sb="47" eb="48">
      <t>ヘン</t>
    </rPh>
    <phoneticPr fontId="7"/>
  </si>
  <si>
    <t>P20-「ガソリン（委託用）レギュラー／3-1 03)燃料類」抜粋／土木工事単価資料【土木工事編】【業務委託編】令和４年度（３月改訂版）</t>
    <rPh sb="10" eb="13">
      <t>イタクヨウ</t>
    </rPh>
    <rPh sb="27" eb="30">
      <t>ネンリョウルイ</t>
    </rPh>
    <phoneticPr fontId="7"/>
  </si>
  <si>
    <t>機械損料</t>
    <rPh sb="0" eb="4">
      <t>キカイソンリョウ</t>
    </rPh>
    <phoneticPr fontId="7"/>
  </si>
  <si>
    <t>単価（円）</t>
    <rPh sb="0" eb="2">
      <t>タンカ</t>
    </rPh>
    <rPh sb="3" eb="4">
      <t>エン</t>
    </rPh>
    <phoneticPr fontId="7"/>
  </si>
  <si>
    <t>円／時間</t>
    <rPh sb="0" eb="1">
      <t>エン</t>
    </rPh>
    <rPh sb="2" eb="4">
      <t>ジカン</t>
    </rPh>
    <phoneticPr fontId="7"/>
  </si>
  <si>
    <t>P321-「2022ライトバン／20 その他の機器／経費積算要領第２建設期間損料算定表」／令和４年度版治山林道必携積算・施工編【下巻】</t>
    <rPh sb="21" eb="22">
      <t>タ</t>
    </rPh>
    <rPh sb="23" eb="25">
      <t>キキ</t>
    </rPh>
    <rPh sb="26" eb="28">
      <t>ケイヒ</t>
    </rPh>
    <rPh sb="28" eb="30">
      <t>セキサン</t>
    </rPh>
    <rPh sb="30" eb="32">
      <t>ヨウリョウ</t>
    </rPh>
    <rPh sb="32" eb="33">
      <t>ダイ</t>
    </rPh>
    <rPh sb="34" eb="36">
      <t>ケンセツ</t>
    </rPh>
    <rPh sb="36" eb="38">
      <t>キカン</t>
    </rPh>
    <rPh sb="38" eb="40">
      <t>ソンリョウ</t>
    </rPh>
    <rPh sb="40" eb="42">
      <t>サンテイ</t>
    </rPh>
    <rPh sb="42" eb="43">
      <t>ヒョウ</t>
    </rPh>
    <rPh sb="45" eb="47">
      <t>レイワ</t>
    </rPh>
    <rPh sb="48" eb="51">
      <t>ネンドバン</t>
    </rPh>
    <rPh sb="51" eb="53">
      <t>チサン</t>
    </rPh>
    <rPh sb="53" eb="55">
      <t>リンドウ</t>
    </rPh>
    <rPh sb="55" eb="57">
      <t>ヒッケイ</t>
    </rPh>
    <rPh sb="57" eb="59">
      <t>セキサン</t>
    </rPh>
    <rPh sb="60" eb="63">
      <t>セコウヘン</t>
    </rPh>
    <rPh sb="64" eb="66">
      <t>ゲカン</t>
    </rPh>
    <phoneticPr fontId="7"/>
  </si>
  <si>
    <t>単位</t>
    <rPh sb="0" eb="2">
      <t>タンイ</t>
    </rPh>
    <phoneticPr fontId="7"/>
  </si>
  <si>
    <t>円／日</t>
    <rPh sb="0" eb="1">
      <t>エン</t>
    </rPh>
    <rPh sb="2" eb="3">
      <t>ニチ</t>
    </rPh>
    <phoneticPr fontId="7"/>
  </si>
  <si>
    <t>作業量</t>
    <rPh sb="0" eb="3">
      <t>サギョウリョウ</t>
    </rPh>
    <phoneticPr fontId="7"/>
  </si>
  <si>
    <t>人日</t>
    <rPh sb="0" eb="2">
      <t>ニンニチ</t>
    </rPh>
    <phoneticPr fontId="7"/>
  </si>
  <si>
    <t>円／L</t>
    <rPh sb="0" eb="1">
      <t>エン</t>
    </rPh>
    <phoneticPr fontId="7"/>
  </si>
  <si>
    <t>P33-「表１－１　諸経費率標準値／第１章地質調査積算基準」／令和４年度版治山林道必携　調査・測量・設計編</t>
    <rPh sb="5" eb="6">
      <t>ヒョウ</t>
    </rPh>
    <rPh sb="10" eb="14">
      <t>ショケイヒリツ</t>
    </rPh>
    <rPh sb="14" eb="17">
      <t>ヒョウジュンチ</t>
    </rPh>
    <rPh sb="18" eb="19">
      <t>ダイ</t>
    </rPh>
    <rPh sb="20" eb="21">
      <t>ショウ</t>
    </rPh>
    <rPh sb="21" eb="23">
      <t>チシツ</t>
    </rPh>
    <rPh sb="23" eb="25">
      <t>チョウサ</t>
    </rPh>
    <rPh sb="25" eb="27">
      <t>セキサン</t>
    </rPh>
    <rPh sb="27" eb="29">
      <t>キジュン</t>
    </rPh>
    <rPh sb="31" eb="33">
      <t>レイワ</t>
    </rPh>
    <rPh sb="34" eb="36">
      <t>ネンド</t>
    </rPh>
    <rPh sb="36" eb="37">
      <t>バン</t>
    </rPh>
    <rPh sb="37" eb="39">
      <t>チサン</t>
    </rPh>
    <rPh sb="39" eb="41">
      <t>リンドウ</t>
    </rPh>
    <rPh sb="41" eb="43">
      <t>ヒッケイ</t>
    </rPh>
    <rPh sb="44" eb="46">
      <t>チョウサ</t>
    </rPh>
    <rPh sb="47" eb="49">
      <t>ソクリョウ</t>
    </rPh>
    <rPh sb="50" eb="53">
      <t>セッケイヘン</t>
    </rPh>
    <phoneticPr fontId="7"/>
  </si>
  <si>
    <t>直接人件費※</t>
    <rPh sb="0" eb="2">
      <t>チョクセツ</t>
    </rPh>
    <rPh sb="2" eb="5">
      <t>ジンケンヒ</t>
    </rPh>
    <phoneticPr fontId="7"/>
  </si>
  <si>
    <t>P601-「鋼材／（３）仮設材の損料率　表２．１　土留、仮締切、築島、仮橋等の材料損料率／第８　仮施工」／令和４年度版治山林道必携　積算・施工編【上巻】</t>
    <rPh sb="6" eb="8">
      <t>コウザイ</t>
    </rPh>
    <rPh sb="12" eb="13">
      <t>カリ</t>
    </rPh>
    <rPh sb="13" eb="14">
      <t>セツ</t>
    </rPh>
    <rPh sb="14" eb="15">
      <t>ザイ</t>
    </rPh>
    <rPh sb="16" eb="19">
      <t>ソンリョウリツ</t>
    </rPh>
    <rPh sb="20" eb="21">
      <t>ヒョウ</t>
    </rPh>
    <rPh sb="25" eb="26">
      <t>ド</t>
    </rPh>
    <rPh sb="26" eb="27">
      <t>リュウ</t>
    </rPh>
    <rPh sb="28" eb="29">
      <t>カリ</t>
    </rPh>
    <rPh sb="29" eb="31">
      <t>シメキリ</t>
    </rPh>
    <rPh sb="32" eb="33">
      <t>チク</t>
    </rPh>
    <rPh sb="33" eb="34">
      <t>シマ</t>
    </rPh>
    <rPh sb="35" eb="36">
      <t>カリ</t>
    </rPh>
    <rPh sb="36" eb="37">
      <t>ハシ</t>
    </rPh>
    <rPh sb="37" eb="38">
      <t>トウ</t>
    </rPh>
    <rPh sb="39" eb="41">
      <t>ザイリョウ</t>
    </rPh>
    <rPh sb="41" eb="44">
      <t>ソンリョウリツ</t>
    </rPh>
    <rPh sb="45" eb="46">
      <t>ダイ</t>
    </rPh>
    <rPh sb="48" eb="49">
      <t>カリ</t>
    </rPh>
    <rPh sb="49" eb="51">
      <t>セコウ</t>
    </rPh>
    <rPh sb="53" eb="55">
      <t>レイワ</t>
    </rPh>
    <rPh sb="56" eb="59">
      <t>ネンドバン</t>
    </rPh>
    <rPh sb="59" eb="65">
      <t>チサンリンドウヒッケイ</t>
    </rPh>
    <rPh sb="66" eb="68">
      <t>セキサン</t>
    </rPh>
    <rPh sb="69" eb="72">
      <t>セコウヘン</t>
    </rPh>
    <rPh sb="73" eb="75">
      <t>ジョウカン</t>
    </rPh>
    <phoneticPr fontId="7"/>
  </si>
  <si>
    <t>鋼材損料率</t>
    <rPh sb="0" eb="2">
      <t>コウザイ</t>
    </rPh>
    <rPh sb="2" eb="4">
      <t>ソンリョウ</t>
    </rPh>
    <rPh sb="4" eb="5">
      <t>リツ</t>
    </rPh>
    <phoneticPr fontId="7"/>
  </si>
  <si>
    <t>％</t>
    <phoneticPr fontId="7"/>
  </si>
  <si>
    <t>銃損料※</t>
    <rPh sb="0" eb="1">
      <t>ジュウ</t>
    </rPh>
    <rPh sb="1" eb="3">
      <t>ソンリョウ</t>
    </rPh>
    <phoneticPr fontId="7"/>
  </si>
  <si>
    <t>純調査費（人件費＋直接経費）※</t>
    <rPh sb="0" eb="1">
      <t>ジュン</t>
    </rPh>
    <rPh sb="1" eb="4">
      <t>チョウサヒ</t>
    </rPh>
    <rPh sb="5" eb="8">
      <t>ジンケンヒ</t>
    </rPh>
    <rPh sb="9" eb="11">
      <t>チョクセツ</t>
    </rPh>
    <rPh sb="11" eb="13">
      <t>ケイヒ</t>
    </rPh>
    <phoneticPr fontId="7"/>
  </si>
  <si>
    <t>捕獲</t>
    <rPh sb="0" eb="2">
      <t>ホカク</t>
    </rPh>
    <phoneticPr fontId="7"/>
  </si>
  <si>
    <t>捕獲 ７回</t>
    <rPh sb="0" eb="2">
      <t>ホカク</t>
    </rPh>
    <rPh sb="4" eb="5">
      <t>カイ</t>
    </rPh>
    <phoneticPr fontId="7"/>
  </si>
  <si>
    <t>旅費</t>
    <rPh sb="0" eb="2">
      <t>リョヒ</t>
    </rPh>
    <phoneticPr fontId="7"/>
  </si>
  <si>
    <t>計算式</t>
    <rPh sb="0" eb="2">
      <t>ケイサン</t>
    </rPh>
    <rPh sb="2" eb="3">
      <t>シキ</t>
    </rPh>
    <phoneticPr fontId="7"/>
  </si>
  <si>
    <t>円</t>
    <rPh sb="0" eb="1">
      <t>エン</t>
    </rPh>
    <phoneticPr fontId="7"/>
  </si>
  <si>
    <t>補正金額</t>
    <rPh sb="0" eb="2">
      <t>ホセイ</t>
    </rPh>
    <rPh sb="2" eb="4">
      <t>キンガク</t>
    </rPh>
    <phoneticPr fontId="7"/>
  </si>
  <si>
    <t>人回</t>
    <rPh sb="0" eb="1">
      <t>ニン</t>
    </rPh>
    <rPh sb="1" eb="2">
      <t>カイ</t>
    </rPh>
    <phoneticPr fontId="7"/>
  </si>
  <si>
    <t>式</t>
    <rPh sb="0" eb="1">
      <t>シキ</t>
    </rPh>
    <phoneticPr fontId="7"/>
  </si>
  <si>
    <t>コピー代等</t>
    <rPh sb="3" eb="4">
      <t>ダイ</t>
    </rPh>
    <rPh sb="4" eb="5">
      <t>トウ</t>
    </rPh>
    <phoneticPr fontId="7"/>
  </si>
  <si>
    <t>諸雑費</t>
    <rPh sb="0" eb="3">
      <t>ショザッピ</t>
    </rPh>
    <phoneticPr fontId="7"/>
  </si>
  <si>
    <t>丸太町～福知山（往復）</t>
    <rPh sb="0" eb="3">
      <t>マルタマチ</t>
    </rPh>
    <rPh sb="4" eb="7">
      <t>フクチヤマ</t>
    </rPh>
    <rPh sb="8" eb="10">
      <t>オウフク</t>
    </rPh>
    <phoneticPr fontId="7"/>
  </si>
  <si>
    <t>丸太町～園部（往復）</t>
    <rPh sb="0" eb="3">
      <t>マルタマチ</t>
    </rPh>
    <rPh sb="4" eb="6">
      <t>ソノベ</t>
    </rPh>
    <rPh sb="7" eb="9">
      <t>オウフク</t>
    </rPh>
    <phoneticPr fontId="7"/>
  </si>
  <si>
    <t>丸太町～丹後神崎（往復）</t>
    <rPh sb="0" eb="3">
      <t>マルタマチ</t>
    </rPh>
    <rPh sb="4" eb="6">
      <t>タンゴ</t>
    </rPh>
    <rPh sb="6" eb="8">
      <t>カミサキ</t>
    </rPh>
    <rPh sb="9" eb="11">
      <t>オウフク</t>
    </rPh>
    <phoneticPr fontId="7"/>
  </si>
  <si>
    <t>丸太町～丹後神崎（往復）</t>
    <rPh sb="0" eb="3">
      <t>マルタマチ</t>
    </rPh>
    <rPh sb="4" eb="6">
      <t>タンゴ</t>
    </rPh>
    <rPh sb="6" eb="8">
      <t>カミサキ</t>
    </rPh>
    <rPh sb="9" eb="11">
      <t>オウフク</t>
    </rPh>
    <phoneticPr fontId="7"/>
  </si>
  <si>
    <t>人件費※</t>
    <rPh sb="0" eb="3">
      <t>ジンケンヒ</t>
    </rPh>
    <phoneticPr fontId="7"/>
  </si>
  <si>
    <t>くくりわな損料</t>
    <rPh sb="5" eb="7">
      <t>ソンリョウ</t>
    </rPh>
    <phoneticPr fontId="7"/>
  </si>
  <si>
    <t>P601-「表２．２　足場材、支保材、防護柵の材料損料率（注）１」／令和４年度版治山林道必携　積算・施工編【上巻】</t>
    <rPh sb="6" eb="7">
      <t>ヒョウ</t>
    </rPh>
    <rPh sb="11" eb="13">
      <t>アシバ</t>
    </rPh>
    <rPh sb="13" eb="14">
      <t>ザイ</t>
    </rPh>
    <rPh sb="15" eb="16">
      <t>ササ</t>
    </rPh>
    <rPh sb="16" eb="17">
      <t>ホ</t>
    </rPh>
    <rPh sb="17" eb="18">
      <t>ザイ</t>
    </rPh>
    <rPh sb="19" eb="22">
      <t>ボウゴサク</t>
    </rPh>
    <rPh sb="23" eb="25">
      <t>ザイリョウ</t>
    </rPh>
    <rPh sb="25" eb="28">
      <t>ソンリョウリツ</t>
    </rPh>
    <rPh sb="29" eb="30">
      <t>チュウ</t>
    </rPh>
    <phoneticPr fontId="7"/>
  </si>
  <si>
    <t>　　（くくりわな損料）表2.2(注)15％を引用。15%×(25日/30日)=12.5%</t>
    <rPh sb="11" eb="12">
      <t>ヒョウ</t>
    </rPh>
    <rPh sb="16" eb="17">
      <t>チュウ</t>
    </rPh>
    <rPh sb="22" eb="24">
      <t>インヨウ</t>
    </rPh>
    <rPh sb="32" eb="33">
      <t>ニチ</t>
    </rPh>
    <rPh sb="36" eb="37">
      <t>ニチ</t>
    </rPh>
    <phoneticPr fontId="7"/>
  </si>
  <si>
    <t>くくりわな損料※</t>
    <rPh sb="5" eb="7">
      <t>ソンリョウ</t>
    </rPh>
    <phoneticPr fontId="7"/>
  </si>
  <si>
    <t>西宮北IC～舞鶴大江：片道2,790円</t>
    <rPh sb="0" eb="2">
      <t>ニシノミヤ</t>
    </rPh>
    <rPh sb="2" eb="3">
      <t>キタ</t>
    </rPh>
    <rPh sb="6" eb="8">
      <t>マイヅル</t>
    </rPh>
    <rPh sb="8" eb="10">
      <t>オオエ</t>
    </rPh>
    <rPh sb="11" eb="13">
      <t>カタミチ</t>
    </rPh>
    <rPh sb="18" eb="19">
      <t>エン</t>
    </rPh>
    <phoneticPr fontId="7"/>
  </si>
  <si>
    <t>高速料金</t>
    <rPh sb="0" eb="4">
      <t>コウソクリョウキン</t>
    </rPh>
    <phoneticPr fontId="7"/>
  </si>
  <si>
    <t>西宮北IC～舞鶴大江：片道</t>
    <rPh sb="0" eb="2">
      <t>ニシノミヤ</t>
    </rPh>
    <rPh sb="2" eb="3">
      <t>キタ</t>
    </rPh>
    <rPh sb="6" eb="8">
      <t>マイヅル</t>
    </rPh>
    <rPh sb="8" eb="10">
      <t>オオエ</t>
    </rPh>
    <rPh sb="11" eb="13">
      <t>カタミチ</t>
    </rPh>
    <phoneticPr fontId="7"/>
  </si>
  <si>
    <t>わな猟375台日（15台×25日）
捕獲目標15頭</t>
    <rPh sb="2" eb="3">
      <t>リョウ</t>
    </rPh>
    <rPh sb="6" eb="7">
      <t>ダイ</t>
    </rPh>
    <rPh sb="7" eb="8">
      <t>ニチ</t>
    </rPh>
    <rPh sb="11" eb="12">
      <t>ダイ</t>
    </rPh>
    <rPh sb="15" eb="16">
      <t>ニチ</t>
    </rPh>
    <rPh sb="17" eb="19">
      <t>ホカク</t>
    </rPh>
    <rPh sb="19" eb="21">
      <t>モクヒョウ</t>
    </rPh>
    <rPh sb="24" eb="25">
      <t>トウ</t>
    </rPh>
    <phoneticPr fontId="7"/>
  </si>
  <si>
    <t>丸太町～東舞鶴（往復）→舞鶴市役所</t>
    <rPh sb="0" eb="3">
      <t>マルタマチ</t>
    </rPh>
    <rPh sb="4" eb="5">
      <t>ヒガシ</t>
    </rPh>
    <rPh sb="5" eb="7">
      <t>マイヅル</t>
    </rPh>
    <rPh sb="8" eb="10">
      <t>オウフク</t>
    </rPh>
    <rPh sb="12" eb="14">
      <t>マイヅル</t>
    </rPh>
    <rPh sb="14" eb="17">
      <t>シヤクショ</t>
    </rPh>
    <phoneticPr fontId="7"/>
  </si>
  <si>
    <t>丸太町～宮津（往復）→宮津市役所</t>
    <rPh sb="0" eb="3">
      <t>マルタマチ</t>
    </rPh>
    <rPh sb="4" eb="6">
      <t>ミヤヅ</t>
    </rPh>
    <rPh sb="7" eb="9">
      <t>オウフク</t>
    </rPh>
    <rPh sb="11" eb="13">
      <t>ミヤヅ</t>
    </rPh>
    <rPh sb="13" eb="16">
      <t>シヤクショ</t>
    </rPh>
    <phoneticPr fontId="7"/>
  </si>
  <si>
    <t>材料費・機械経費※</t>
    <rPh sb="0" eb="3">
      <t>ザイリョウヒ</t>
    </rPh>
    <rPh sb="4" eb="6">
      <t>キカイ</t>
    </rPh>
    <rPh sb="6" eb="8">
      <t>ケイヒ</t>
    </rPh>
    <phoneticPr fontId="7"/>
  </si>
  <si>
    <t>◇わな猟</t>
    <rPh sb="3" eb="4">
      <t>リョウ</t>
    </rPh>
    <phoneticPr fontId="7"/>
  </si>
  <si>
    <t>移動経費単価の算出</t>
    <rPh sb="0" eb="2">
      <t>イドウ</t>
    </rPh>
    <rPh sb="2" eb="4">
      <t>ケイヒ</t>
    </rPh>
    <rPh sb="4" eb="6">
      <t>タンカ</t>
    </rPh>
    <rPh sb="7" eb="9">
      <t>サンシュツ</t>
    </rPh>
    <phoneticPr fontId="7"/>
  </si>
  <si>
    <t>燃料※</t>
    <rPh sb="0" eb="2">
      <t>ネンリョウ</t>
    </rPh>
    <phoneticPr fontId="7"/>
  </si>
  <si>
    <t>機械損料／ｈ※</t>
    <rPh sb="0" eb="2">
      <t>キカイ</t>
    </rPh>
    <rPh sb="2" eb="4">
      <t>ソンリョウ</t>
    </rPh>
    <phoneticPr fontId="7"/>
  </si>
  <si>
    <t>式</t>
    <rPh sb="0" eb="1">
      <t>シキ</t>
    </rPh>
    <phoneticPr fontId="7"/>
  </si>
  <si>
    <t>直接調査費計</t>
    <rPh sb="0" eb="2">
      <t>チョクセツ</t>
    </rPh>
    <rPh sb="2" eb="5">
      <t>チョウサヒ</t>
    </rPh>
    <rPh sb="5" eb="6">
      <t>ケイ</t>
    </rPh>
    <phoneticPr fontId="7"/>
  </si>
  <si>
    <t>千円単位</t>
    <rPh sb="0" eb="2">
      <t>センエン</t>
    </rPh>
    <rPh sb="2" eb="4">
      <t>タンイ</t>
    </rPh>
    <phoneticPr fontId="7"/>
  </si>
  <si>
    <t>【実施内容】糞塊密度調査（38メッシュ）、報告書作成</t>
    <rPh sb="1" eb="3">
      <t>ジッシ</t>
    </rPh>
    <rPh sb="3" eb="5">
      <t>ナイヨウ</t>
    </rPh>
    <rPh sb="21" eb="24">
      <t>ホウコクショ</t>
    </rPh>
    <phoneticPr fontId="7"/>
  </si>
  <si>
    <t>電子成果品作成
諸経費対象外（対象経費 4.7×1,572,056＾0.38)</t>
    <rPh sb="0" eb="2">
      <t>デンシ</t>
    </rPh>
    <rPh sb="2" eb="4">
      <t>セイカ</t>
    </rPh>
    <rPh sb="4" eb="5">
      <t>ヒン</t>
    </rPh>
    <rPh sb="5" eb="7">
      <t>サクセイ</t>
    </rPh>
    <rPh sb="8" eb="11">
      <t>ショケイヒ</t>
    </rPh>
    <rPh sb="11" eb="14">
      <t>タイショウガイ</t>
    </rPh>
    <rPh sb="15" eb="17">
      <t>タイショウ</t>
    </rPh>
    <rPh sb="17" eb="19">
      <t>ケイヒ</t>
    </rPh>
    <phoneticPr fontId="7"/>
  </si>
  <si>
    <r>
      <rPr>
        <sz val="11"/>
        <rFont val="ＭＳ Ｐゴシック"/>
        <family val="3"/>
        <charset val="128"/>
      </rPr>
      <t>※１糞塊密度調査等に係る使用料等</t>
    </r>
    <r>
      <rPr>
        <sz val="11"/>
        <color theme="0"/>
        <rFont val="ＭＳ Ｐゴシック"/>
        <family val="3"/>
        <charset val="128"/>
      </rPr>
      <t>人件費の1.6％以内</t>
    </r>
    <rPh sb="16" eb="19">
      <t>ジンケンヒ</t>
    </rPh>
    <rPh sb="24" eb="26">
      <t>イナイ</t>
    </rPh>
    <phoneticPr fontId="7"/>
  </si>
  <si>
    <r>
      <rPr>
        <sz val="11"/>
        <rFont val="ＭＳ Ｐゴシック"/>
        <family val="3"/>
        <charset val="128"/>
      </rPr>
      <t>※２糞塊密度調査に係る旅費等</t>
    </r>
    <r>
      <rPr>
        <sz val="11"/>
        <color theme="0"/>
        <rFont val="ＭＳ Ｐゴシック"/>
        <family val="3"/>
        <charset val="128"/>
      </rPr>
      <t>人件費の30.2％以内</t>
    </r>
    <rPh sb="14" eb="17">
      <t>ジンケンヒ</t>
    </rPh>
    <rPh sb="23" eb="25">
      <t>イナイ</t>
    </rPh>
    <phoneticPr fontId="7"/>
  </si>
  <si>
    <t>※１糞塊密度調査等に係る使用料等</t>
    <rPh sb="2" eb="3">
      <t>フン</t>
    </rPh>
    <rPh sb="3" eb="4">
      <t>カタマリ</t>
    </rPh>
    <rPh sb="4" eb="6">
      <t>ミツド</t>
    </rPh>
    <rPh sb="6" eb="8">
      <t>チョウサ</t>
    </rPh>
    <rPh sb="8" eb="9">
      <t>トウ</t>
    </rPh>
    <rPh sb="10" eb="11">
      <t>カカ</t>
    </rPh>
    <rPh sb="12" eb="15">
      <t>シヨウリョウ</t>
    </rPh>
    <rPh sb="15" eb="16">
      <t>トウ</t>
    </rPh>
    <phoneticPr fontId="7"/>
  </si>
  <si>
    <t>※２糞塊密度調査に係る旅費等</t>
    <rPh sb="2" eb="3">
      <t>フン</t>
    </rPh>
    <rPh sb="3" eb="4">
      <t>カイ</t>
    </rPh>
    <rPh sb="4" eb="6">
      <t>ミツド</t>
    </rPh>
    <rPh sb="6" eb="8">
      <t>チョウサ</t>
    </rPh>
    <rPh sb="9" eb="10">
      <t>カカ</t>
    </rPh>
    <rPh sb="11" eb="13">
      <t>リョヒ</t>
    </rPh>
    <rPh sb="13" eb="14">
      <t>トウ</t>
    </rPh>
    <phoneticPr fontId="7"/>
  </si>
  <si>
    <r>
      <t xml:space="preserve">[センサーカメラ調査]；評価（２カ所、ｶﾒﾗ54台・10台）
</t>
    </r>
    <r>
      <rPr>
        <sz val="11"/>
        <color theme="0"/>
        <rFont val="ＭＳ Ｐゴシック"/>
        <family val="3"/>
        <charset val="128"/>
      </rPr>
      <t xml:space="preserve">準備（技師C２、技術員２)、設置（技師C４、技術員６）、回収（技術員５）、
データ入力・分析（技師A２、技師B５、技術員３）
※剥皮被害調査は計画策定のためのセンサーカメラ調査に付随
</t>
    </r>
    <rPh sb="8" eb="10">
      <t>チョウサ</t>
    </rPh>
    <rPh sb="28" eb="29">
      <t>ダイ</t>
    </rPh>
    <rPh sb="31" eb="33">
      <t>ジュンビ</t>
    </rPh>
    <rPh sb="34" eb="36">
      <t>ギシ</t>
    </rPh>
    <rPh sb="39" eb="41">
      <t>ギジュツ</t>
    </rPh>
    <rPh sb="41" eb="42">
      <t>イン</t>
    </rPh>
    <rPh sb="45" eb="47">
      <t>セッチ</t>
    </rPh>
    <rPh sb="48" eb="50">
      <t>ギシ</t>
    </rPh>
    <rPh sb="53" eb="55">
      <t>ギジュツ</t>
    </rPh>
    <rPh sb="55" eb="56">
      <t>イン</t>
    </rPh>
    <rPh sb="59" eb="61">
      <t>カイシュウ</t>
    </rPh>
    <rPh sb="62" eb="64">
      <t>ギジュツ</t>
    </rPh>
    <rPh sb="64" eb="65">
      <t>イン</t>
    </rPh>
    <rPh sb="72" eb="74">
      <t>ニュウリョク</t>
    </rPh>
    <rPh sb="75" eb="77">
      <t>ブンセキ</t>
    </rPh>
    <rPh sb="78" eb="80">
      <t>ギシ</t>
    </rPh>
    <rPh sb="83" eb="85">
      <t>ギシ</t>
    </rPh>
    <rPh sb="88" eb="90">
      <t>ギジュツ</t>
    </rPh>
    <rPh sb="90" eb="91">
      <t>イン</t>
    </rPh>
    <rPh sb="95" eb="96">
      <t>ハク</t>
    </rPh>
    <rPh sb="96" eb="97">
      <t>ヒ</t>
    </rPh>
    <rPh sb="97" eb="99">
      <t>ヒガイ</t>
    </rPh>
    <rPh sb="99" eb="101">
      <t>チョウサ</t>
    </rPh>
    <rPh sb="102" eb="104">
      <t>ケイカク</t>
    </rPh>
    <rPh sb="104" eb="106">
      <t>サクテイ</t>
    </rPh>
    <rPh sb="117" eb="119">
      <t>チョウサ</t>
    </rPh>
    <rPh sb="120" eb="122">
      <t>フズイ</t>
    </rPh>
    <phoneticPr fontId="7"/>
  </si>
  <si>
    <t>式</t>
    <rPh sb="0" eb="1">
      <t>シキ</t>
    </rPh>
    <phoneticPr fontId="7"/>
  </si>
  <si>
    <r>
      <rPr>
        <sz val="10"/>
        <color theme="0"/>
        <rFont val="ＭＳ Ｐゴシック"/>
        <family val="3"/>
        <charset val="128"/>
      </rPr>
      <t>140人日（</t>
    </r>
    <r>
      <rPr>
        <sz val="10"/>
        <rFont val="ＭＳ Ｐゴシック"/>
        <family val="3"/>
        <charset val="128"/>
      </rPr>
      <t>1回20人（捕獲17人+保安員２人+記録１人）×７回</t>
    </r>
    <r>
      <rPr>
        <sz val="10"/>
        <color theme="0"/>
        <rFont val="ＭＳ Ｐゴシック"/>
        <family val="3"/>
        <charset val="128"/>
      </rPr>
      <t>）</t>
    </r>
    <rPh sb="2" eb="4">
      <t>ニンニチ</t>
    </rPh>
    <rPh sb="6" eb="7">
      <t>カイ</t>
    </rPh>
    <rPh sb="12" eb="14">
      <t>ホカク</t>
    </rPh>
    <rPh sb="16" eb="17">
      <t>ニン</t>
    </rPh>
    <rPh sb="17" eb="20">
      <t>ホアンイン</t>
    </rPh>
    <rPh sb="22" eb="23">
      <t>ニン</t>
    </rPh>
    <rPh sb="24" eb="26">
      <t>キロク</t>
    </rPh>
    <rPh sb="27" eb="28">
      <t>ニン</t>
    </rPh>
    <rPh sb="30" eb="31">
      <t>カイ</t>
    </rPh>
    <phoneticPr fontId="7"/>
  </si>
  <si>
    <t xml:space="preserve">京都～福知山市：105km×往復÷14km/ℓ×５台回≒75ℓ
調査北部：15km÷14km/ℓ×往復×5台×5.4日≒58ℓ
</t>
    <rPh sb="0" eb="2">
      <t>キョウト</t>
    </rPh>
    <rPh sb="14" eb="16">
      <t>オウフク</t>
    </rPh>
    <rPh sb="32" eb="34">
      <t>チョウサ</t>
    </rPh>
    <rPh sb="34" eb="36">
      <t>ホクブ</t>
    </rPh>
    <rPh sb="49" eb="51">
      <t>オウフク</t>
    </rPh>
    <rPh sb="53" eb="54">
      <t>ダイ</t>
    </rPh>
    <rPh sb="58" eb="59">
      <t>ニチ</t>
    </rPh>
    <phoneticPr fontId="7"/>
  </si>
  <si>
    <t>単価</t>
    <rPh sb="0" eb="2">
      <t>タンカ</t>
    </rPh>
    <phoneticPr fontId="7"/>
  </si>
  <si>
    <t>甲地方（京都市）</t>
    <rPh sb="0" eb="1">
      <t>コウ</t>
    </rPh>
    <rPh sb="1" eb="3">
      <t>チホウ</t>
    </rPh>
    <rPh sb="4" eb="7">
      <t>キョウトシ</t>
    </rPh>
    <phoneticPr fontId="7"/>
  </si>
  <si>
    <t>ガソリン代</t>
    <rPh sb="4" eb="5">
      <t>ダイ</t>
    </rPh>
    <phoneticPr fontId="40"/>
  </si>
  <si>
    <t>ガソリン代単価</t>
    <rPh sb="4" eb="5">
      <t>ダイ</t>
    </rPh>
    <rPh sb="5" eb="7">
      <t>タンカ</t>
    </rPh>
    <phoneticPr fontId="7"/>
  </si>
  <si>
    <t>ライトバン損料</t>
    <rPh sb="5" eb="7">
      <t>ソンリョウ</t>
    </rPh>
    <phoneticPr fontId="7"/>
  </si>
  <si>
    <t>直接人件費</t>
    <rPh sb="0" eb="2">
      <t>チョクセツ</t>
    </rPh>
    <rPh sb="2" eb="5">
      <t>ジンケンヒ</t>
    </rPh>
    <phoneticPr fontId="7"/>
  </si>
  <si>
    <t>大分類</t>
    <rPh sb="0" eb="1">
      <t>ダイ</t>
    </rPh>
    <rPh sb="1" eb="3">
      <t>ブンルイ</t>
    </rPh>
    <phoneticPr fontId="7"/>
  </si>
  <si>
    <t>中分類</t>
    <rPh sb="0" eb="1">
      <t>チュウ</t>
    </rPh>
    <rPh sb="1" eb="3">
      <t>ブンルイ</t>
    </rPh>
    <phoneticPr fontId="7"/>
  </si>
  <si>
    <t>小分類</t>
    <rPh sb="0" eb="1">
      <t>ショウ</t>
    </rPh>
    <rPh sb="1" eb="3">
      <t>ブンルイ</t>
    </rPh>
    <phoneticPr fontId="7"/>
  </si>
  <si>
    <t>宿泊費</t>
    <rPh sb="0" eb="3">
      <t>シュクハクヒ</t>
    </rPh>
    <phoneticPr fontId="7"/>
  </si>
  <si>
    <t>ガソリン代</t>
    <rPh sb="4" eb="5">
      <t>ダイ</t>
    </rPh>
    <phoneticPr fontId="7"/>
  </si>
  <si>
    <t>ライトバン損料</t>
    <rPh sb="5" eb="7">
      <t>ソンリョウ</t>
    </rPh>
    <phoneticPr fontId="7"/>
  </si>
  <si>
    <t>有料道路料金</t>
    <rPh sb="0" eb="2">
      <t>ユウリョウ</t>
    </rPh>
    <rPh sb="2" eb="4">
      <t>ドウロ</t>
    </rPh>
    <rPh sb="4" eb="6">
      <t>リョウキン</t>
    </rPh>
    <phoneticPr fontId="7"/>
  </si>
  <si>
    <t>技術者単価</t>
    <rPh sb="0" eb="5">
      <t>ギジュツシャタンカ</t>
    </rPh>
    <phoneticPr fontId="7"/>
  </si>
  <si>
    <t>機械損料</t>
    <rPh sb="0" eb="4">
      <t>キカイソンリョウ</t>
    </rPh>
    <phoneticPr fontId="7"/>
  </si>
  <si>
    <t>有料道路料金</t>
    <rPh sb="0" eb="4">
      <t>ユウリョウドウロ</t>
    </rPh>
    <rPh sb="4" eb="6">
      <t>リョウキン</t>
    </rPh>
    <phoneticPr fontId="7"/>
  </si>
  <si>
    <t>日</t>
    <rPh sb="0" eb="1">
      <t>ニチ</t>
    </rPh>
    <phoneticPr fontId="7"/>
  </si>
  <si>
    <t>泊</t>
    <rPh sb="0" eb="1">
      <t>ハク</t>
    </rPh>
    <phoneticPr fontId="7"/>
  </si>
  <si>
    <t>１．糞塊密度調査</t>
    <rPh sb="2" eb="3">
      <t>フン</t>
    </rPh>
    <rPh sb="3" eb="4">
      <t>カイ</t>
    </rPh>
    <rPh sb="4" eb="6">
      <t>ミツド</t>
    </rPh>
    <rPh sb="6" eb="8">
      <t>チョウサ</t>
    </rPh>
    <phoneticPr fontId="7"/>
  </si>
  <si>
    <t>材料費</t>
    <rPh sb="0" eb="3">
      <t>ザイリョウヒ</t>
    </rPh>
    <phoneticPr fontId="7"/>
  </si>
  <si>
    <t>西宮北IC－福知山ＩＣ</t>
  </si>
  <si>
    <t>L</t>
    <phoneticPr fontId="7"/>
  </si>
  <si>
    <t>時間</t>
    <rPh sb="0" eb="2">
      <t>ジカン</t>
    </rPh>
    <phoneticPr fontId="7"/>
  </si>
  <si>
    <t>小計</t>
    <rPh sb="0" eb="2">
      <t>ショウケイ</t>
    </rPh>
    <phoneticPr fontId="7"/>
  </si>
  <si>
    <t>直接経費計</t>
    <rPh sb="0" eb="4">
      <t>チョクセツケイヒ</t>
    </rPh>
    <rPh sb="4" eb="5">
      <t>ケイ</t>
    </rPh>
    <phoneticPr fontId="7"/>
  </si>
  <si>
    <t>回</t>
    <rPh sb="0" eb="1">
      <t>カイ</t>
    </rPh>
    <phoneticPr fontId="7"/>
  </si>
  <si>
    <t>⑩</t>
  </si>
  <si>
    <t>２．報告書作成</t>
    <rPh sb="2" eb="5">
      <t>ホウコクショ</t>
    </rPh>
    <rPh sb="5" eb="7">
      <t>サクセイ</t>
    </rPh>
    <phoneticPr fontId="7"/>
  </si>
  <si>
    <t>人日</t>
  </si>
  <si>
    <t>沓掛IC－京丹波みずほＩＣ</t>
    <rPh sb="0" eb="2">
      <t>クツカケ</t>
    </rPh>
    <rPh sb="5" eb="8">
      <t>キョウタンバ</t>
    </rPh>
    <phoneticPr fontId="7"/>
  </si>
  <si>
    <t>宿泊手当</t>
    <rPh sb="0" eb="4">
      <t>シュクハクテアテ</t>
    </rPh>
    <phoneticPr fontId="7"/>
  </si>
  <si>
    <t>３．狩猟関係データの入力・集計</t>
    <phoneticPr fontId="7"/>
  </si>
  <si>
    <t>令和８年度野生鳥獣（ニホンジカ）生息動態調査</t>
    <rPh sb="0" eb="2">
      <t>レイワ</t>
    </rPh>
    <rPh sb="3" eb="5">
      <t>ネンド</t>
    </rPh>
    <rPh sb="5" eb="7">
      <t>ヤセイ</t>
    </rPh>
    <rPh sb="7" eb="9">
      <t>チョウジュウ</t>
    </rPh>
    <rPh sb="16" eb="18">
      <t>セイソク</t>
    </rPh>
    <rPh sb="18" eb="20">
      <t>ドウタイ</t>
    </rPh>
    <rPh sb="20" eb="22">
      <t>チョウサ</t>
    </rPh>
    <phoneticPr fontId="7"/>
  </si>
  <si>
    <t>【実施内容】
１．糞塊密度調査（38メッシュ）
２．報告書作成
３．狩猟関係データの入力・集計</t>
    <phoneticPr fontId="7"/>
  </si>
  <si>
    <t>調査員（軽作業員）</t>
    <rPh sb="0" eb="3">
      <t>チョウサイン</t>
    </rPh>
    <rPh sb="4" eb="5">
      <t>ケイ</t>
    </rPh>
    <rPh sb="5" eb="8">
      <t>サギョウイン</t>
    </rPh>
    <phoneticPr fontId="7"/>
  </si>
  <si>
    <t>人件費、燃料代については、令和７年度(３月改訂版）土木工事単価資料による。</t>
    <rPh sb="4" eb="7">
      <t>ネンリョウダイ</t>
    </rPh>
    <rPh sb="13" eb="15">
      <t>レイワ</t>
    </rPh>
    <rPh sb="20" eb="21">
      <t>ガツ</t>
    </rPh>
    <rPh sb="21" eb="24">
      <t>カイテイバン</t>
    </rPh>
    <phoneticPr fontId="7"/>
  </si>
  <si>
    <t>旅費・交通費については、治山林道必携（設計・調査・測量等委託基準）（令和７年版）を準用</t>
    <rPh sb="0" eb="2">
      <t>リョヒ</t>
    </rPh>
    <rPh sb="3" eb="6">
      <t>コウツウヒ</t>
    </rPh>
    <rPh sb="12" eb="18">
      <t>チサンリンドウヒッケイ</t>
    </rPh>
    <rPh sb="19" eb="21">
      <t>セッケイ</t>
    </rPh>
    <rPh sb="22" eb="24">
      <t>チョウサ</t>
    </rPh>
    <rPh sb="25" eb="28">
      <t>ソクリョウトウ</t>
    </rPh>
    <rPh sb="28" eb="30">
      <t>イタク</t>
    </rPh>
    <rPh sb="30" eb="32">
      <t>キジュン</t>
    </rPh>
    <rPh sb="34" eb="36">
      <t>レイワ</t>
    </rPh>
    <rPh sb="37" eb="39">
      <t>ネンバン</t>
    </rPh>
    <rPh sb="41" eb="43">
      <t>ジュンヨウ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</si>
</sst>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Red]\-#,##0.0"/>
    <numFmt numFmtId="178" formatCode="0.0%"/>
    <numFmt numFmtId="179" formatCode="#,##0.000;[Red]\-#,##0.000"/>
    <numFmt numFmtId="180" formatCode="#,##0.0000;[Red]\-#,##0.0000"/>
    <numFmt numFmtId="181" formatCode="0.0_);[Red]\(0.0\)"/>
    <numFmt numFmtId="182" formatCode="0_);[Red]\(0\)"/>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color theme="1"/>
      <name val="ＭＳ Ｐゴシック"/>
      <family val="3"/>
      <charset val="128"/>
      <scheme val="minor"/>
    </font>
    <font>
      <sz val="16"/>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1"/>
      <color rgb="FFFF0000"/>
      <name val="ＭＳ Ｐゴシック"/>
      <family val="3"/>
      <charset val="128"/>
    </font>
    <font>
      <b/>
      <sz val="14"/>
      <color rgb="FFFF0000"/>
      <name val="ＭＳ Ｐゴシック"/>
      <family val="3"/>
      <charset val="128"/>
    </font>
    <font>
      <sz val="11"/>
      <name val="ＭＳ 明朝"/>
      <family val="1"/>
      <charset val="128"/>
    </font>
    <font>
      <sz val="11"/>
      <name val="Times New Roman"/>
      <family val="1"/>
    </font>
    <font>
      <sz val="13"/>
      <name val="ＭＳ 明朝"/>
      <family val="1"/>
      <charset val="128"/>
    </font>
    <font>
      <sz val="10"/>
      <name val="Times New Roman"/>
      <family val="1"/>
    </font>
    <font>
      <sz val="9"/>
      <name val="ＭＳ 明朝"/>
      <family val="1"/>
      <charset val="128"/>
    </font>
    <font>
      <sz val="12"/>
      <name val="ＭＳ 明朝"/>
      <family val="1"/>
      <charset val="128"/>
    </font>
    <font>
      <sz val="8"/>
      <name val="ＭＳ 明朝"/>
      <family val="1"/>
      <charset val="128"/>
    </font>
    <font>
      <sz val="10"/>
      <name val="ＭＳ 明朝"/>
      <family val="1"/>
      <charset val="128"/>
    </font>
    <font>
      <sz val="9"/>
      <name val="Times New Roman"/>
      <family val="1"/>
    </font>
    <font>
      <sz val="10"/>
      <color theme="1"/>
      <name val="ＭＳ 明朝"/>
      <family val="1"/>
      <charset val="128"/>
    </font>
    <font>
      <sz val="11"/>
      <color rgb="FF000000"/>
      <name val="Times New Roman"/>
      <family val="1"/>
    </font>
    <font>
      <u/>
      <sz val="11"/>
      <name val="ＭＳ 明朝"/>
      <family val="1"/>
      <charset val="128"/>
    </font>
    <font>
      <sz val="11"/>
      <color rgb="FFFF0000"/>
      <name val="ＭＳ Ｐゴシック"/>
      <family val="2"/>
      <charset val="128"/>
      <scheme val="minor"/>
    </font>
    <font>
      <sz val="11"/>
      <name val="ＭＳ Ｐゴシック"/>
      <family val="3"/>
      <charset val="128"/>
      <scheme val="minor"/>
    </font>
    <font>
      <sz val="11"/>
      <color rgb="FF7030A0"/>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b/>
      <sz val="11"/>
      <name val="ＭＳ Ｐゴシック"/>
      <family val="3"/>
      <charset val="128"/>
      <scheme val="minor"/>
    </font>
    <font>
      <b/>
      <sz val="11"/>
      <color rgb="FF7030A0"/>
      <name val="ＭＳ Ｐゴシック"/>
      <family val="3"/>
      <charset val="128"/>
      <scheme val="minor"/>
    </font>
    <font>
      <b/>
      <sz val="11"/>
      <name val="ＭＳ Ｐゴシック"/>
      <family val="3"/>
      <charset val="128"/>
    </font>
    <font>
      <sz val="11"/>
      <color theme="0"/>
      <name val="ＭＳ Ｐゴシック"/>
      <family val="3"/>
      <charset val="128"/>
    </font>
    <font>
      <sz val="10"/>
      <color theme="0"/>
      <name val="ＭＳ Ｐゴシック"/>
      <family val="3"/>
      <charset val="128"/>
    </font>
    <font>
      <sz val="6"/>
      <name val="ＭＳ Ｐゴシック"/>
      <family val="2"/>
      <charset val="128"/>
      <scheme val="minor"/>
    </font>
    <font>
      <sz val="10"/>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10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thick">
        <color rgb="FF000000"/>
      </right>
      <top style="medium">
        <color rgb="FF000000"/>
      </top>
      <bottom/>
      <diagonal/>
    </border>
    <border>
      <left style="thick">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top/>
      <bottom style="thick">
        <color rgb="FF000000"/>
      </bottom>
      <diagonal/>
    </border>
    <border>
      <left/>
      <right style="thick">
        <color rgb="FF000000"/>
      </right>
      <top/>
      <bottom style="thick">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medium">
        <color rgb="FF000000"/>
      </right>
      <top style="medium">
        <color rgb="FF000000"/>
      </top>
      <bottom style="thick">
        <color rgb="FF000000"/>
      </bottom>
      <diagonal/>
    </border>
    <border>
      <left/>
      <right style="thick">
        <color rgb="FF000000"/>
      </right>
      <top style="medium">
        <color rgb="FF000000"/>
      </top>
      <bottom style="thick">
        <color rgb="FF000000"/>
      </bottom>
      <diagonal/>
    </border>
    <border>
      <left style="medium">
        <color rgb="FF000000"/>
      </left>
      <right/>
      <top style="thick">
        <color rgb="FF000000"/>
      </top>
      <bottom/>
      <diagonal/>
    </border>
    <border>
      <left/>
      <right style="thick">
        <color rgb="FF000000"/>
      </right>
      <top style="thick">
        <color rgb="FF000000"/>
      </top>
      <bottom/>
      <diagonal/>
    </border>
    <border>
      <left/>
      <right style="thick">
        <color rgb="FF000000"/>
      </right>
      <top/>
      <bottom style="medium">
        <color rgb="FF000000"/>
      </bottom>
      <diagonal/>
    </border>
    <border>
      <left style="thick">
        <color rgb="FF000000"/>
      </left>
      <right style="thick">
        <color rgb="FF000000"/>
      </right>
      <top style="thick">
        <color rgb="FF000000"/>
      </top>
      <bottom/>
      <diagonal/>
    </border>
    <border>
      <left style="thick">
        <color rgb="FF000000"/>
      </left>
      <right style="medium">
        <color rgb="FF000000"/>
      </right>
      <top style="thick">
        <color rgb="FF000000"/>
      </top>
      <bottom/>
      <diagonal/>
    </border>
    <border>
      <left style="medium">
        <color rgb="FF000000"/>
      </left>
      <right style="medium">
        <color rgb="FF000000"/>
      </right>
      <top/>
      <bottom/>
      <diagonal/>
    </border>
    <border>
      <left style="thick">
        <color rgb="FF000000"/>
      </left>
      <right style="thick">
        <color rgb="FF000000"/>
      </right>
      <top/>
      <bottom/>
      <diagonal/>
    </border>
    <border>
      <left style="thick">
        <color rgb="FF000000"/>
      </left>
      <right style="medium">
        <color rgb="FF000000"/>
      </right>
      <top/>
      <bottom/>
      <diagonal/>
    </border>
    <border>
      <left style="thick">
        <color rgb="FF000000"/>
      </left>
      <right style="thick">
        <color rgb="FF000000"/>
      </right>
      <top/>
      <bottom style="medium">
        <color rgb="FF000000"/>
      </bottom>
      <diagonal/>
    </border>
    <border>
      <left style="thick">
        <color rgb="FF000000"/>
      </left>
      <right style="thick">
        <color rgb="FF000000"/>
      </right>
      <top style="medium">
        <color rgb="FF000000"/>
      </top>
      <bottom/>
      <diagonal/>
    </border>
    <border>
      <left/>
      <right style="thick">
        <color rgb="FF000000"/>
      </right>
      <top/>
      <bottom/>
      <diagonal/>
    </border>
    <border>
      <left/>
      <right style="thick">
        <color rgb="FF000000"/>
      </right>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double">
        <color rgb="FF000000"/>
      </bottom>
      <diagonal/>
    </border>
    <border>
      <left style="thick">
        <color rgb="FF000000"/>
      </left>
      <right style="medium">
        <color rgb="FF000000"/>
      </right>
      <top/>
      <bottom style="medium">
        <color indexed="64"/>
      </bottom>
      <diagonal/>
    </border>
    <border>
      <left style="medium">
        <color rgb="FF000000"/>
      </left>
      <right/>
      <top style="double">
        <color rgb="FF000000"/>
      </top>
      <bottom style="medium">
        <color indexed="64"/>
      </bottom>
      <diagonal/>
    </border>
    <border>
      <left/>
      <right style="thick">
        <color rgb="FF000000"/>
      </right>
      <top style="double">
        <color rgb="FF000000"/>
      </top>
      <bottom style="medium">
        <color indexed="64"/>
      </bottom>
      <diagonal/>
    </border>
    <border>
      <left style="medium">
        <color rgb="FF000000"/>
      </left>
      <right/>
      <top/>
      <bottom/>
      <diagonal/>
    </border>
    <border>
      <left/>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bottom/>
      <diagonal/>
    </border>
  </borders>
  <cellStyleXfs count="12">
    <xf numFmtId="0" fontId="0" fillId="0" borderId="0"/>
    <xf numFmtId="38" fontId="9" fillId="0" borderId="0" applyFont="0" applyFill="0" applyBorder="0" applyAlignment="0" applyProtection="0">
      <alignment vertical="center"/>
    </xf>
    <xf numFmtId="38" fontId="4" fillId="0" borderId="0" applyFont="0" applyFill="0" applyBorder="0" applyAlignment="0" applyProtection="0">
      <alignment vertical="center"/>
    </xf>
    <xf numFmtId="0" fontId="10" fillId="0" borderId="0">
      <alignment vertical="center"/>
    </xf>
    <xf numFmtId="0" fontId="4" fillId="0" borderId="0">
      <alignment vertical="center"/>
    </xf>
    <xf numFmtId="38" fontId="5" fillId="0" borderId="0" applyFont="0" applyFill="0" applyBorder="0" applyAlignment="0" applyProtection="0"/>
    <xf numFmtId="38" fontId="3" fillId="0" borderId="0" applyFont="0" applyFill="0" applyBorder="0" applyAlignment="0" applyProtection="0">
      <alignment vertical="center"/>
    </xf>
    <xf numFmtId="9" fontId="5" fillId="0" borderId="0" applyFon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0" fontId="41" fillId="0" borderId="0"/>
  </cellStyleXfs>
  <cellXfs count="564">
    <xf numFmtId="0" fontId="0" fillId="0" borderId="0" xfId="0"/>
    <xf numFmtId="0" fontId="6" fillId="0" borderId="0" xfId="0" applyFont="1" applyAlignment="1">
      <alignment vertical="center"/>
    </xf>
    <xf numFmtId="176" fontId="6" fillId="0" borderId="0" xfId="0" applyNumberFormat="1" applyFont="1" applyAlignment="1">
      <alignment vertical="center"/>
    </xf>
    <xf numFmtId="0" fontId="8" fillId="0" borderId="0" xfId="0" applyFont="1" applyAlignment="1">
      <alignment vertical="center"/>
    </xf>
    <xf numFmtId="176" fontId="0" fillId="0" borderId="0" xfId="0" applyNumberFormat="1"/>
    <xf numFmtId="0" fontId="0" fillId="0" borderId="0" xfId="0" applyAlignment="1">
      <alignment horizontal="center"/>
    </xf>
    <xf numFmtId="38" fontId="0" fillId="0" borderId="0" xfId="5" applyFont="1"/>
    <xf numFmtId="177" fontId="0" fillId="0" borderId="0" xfId="5" applyNumberFormat="1" applyFont="1"/>
    <xf numFmtId="40" fontId="0" fillId="0" borderId="0" xfId="5" applyNumberFormat="1" applyFont="1"/>
    <xf numFmtId="0" fontId="0" fillId="0" borderId="0" xfId="0" applyAlignment="1">
      <alignment horizontal="right"/>
    </xf>
    <xf numFmtId="9" fontId="0" fillId="0" borderId="0" xfId="7" applyFont="1" applyFill="1" applyBorder="1" applyAlignment="1"/>
    <xf numFmtId="179" fontId="0" fillId="0" borderId="0" xfId="5" applyNumberFormat="1" applyFont="1"/>
    <xf numFmtId="0" fontId="0" fillId="0" borderId="9" xfId="0" applyBorder="1"/>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176" fontId="0" fillId="0" borderId="2" xfId="0" applyNumberFormat="1" applyBorder="1" applyAlignment="1">
      <alignment horizontal="center" vertical="center"/>
    </xf>
    <xf numFmtId="0" fontId="0" fillId="0" borderId="3" xfId="0" applyBorder="1" applyAlignment="1">
      <alignment horizontal="center" vertical="center"/>
    </xf>
    <xf numFmtId="0" fontId="0" fillId="0" borderId="6" xfId="0" applyBorder="1" applyAlignment="1">
      <alignment vertical="center"/>
    </xf>
    <xf numFmtId="176" fontId="0" fillId="0" borderId="6" xfId="0" applyNumberFormat="1" applyBorder="1" applyAlignment="1">
      <alignment vertical="center"/>
    </xf>
    <xf numFmtId="0" fontId="0" fillId="0" borderId="6" xfId="0" applyBorder="1" applyAlignment="1">
      <alignment horizontal="center" vertical="center"/>
    </xf>
    <xf numFmtId="38" fontId="0" fillId="0" borderId="0" xfId="5" applyFont="1" applyFill="1" applyBorder="1" applyAlignment="1">
      <alignment vertical="center"/>
    </xf>
    <xf numFmtId="38" fontId="0" fillId="0" borderId="0" xfId="0" applyNumberFormat="1" applyAlignment="1">
      <alignment vertical="center"/>
    </xf>
    <xf numFmtId="38" fontId="0" fillId="0" borderId="0" xfId="5" applyFont="1" applyFill="1" applyBorder="1" applyAlignment="1"/>
    <xf numFmtId="38" fontId="6" fillId="0" borderId="0" xfId="0" applyNumberFormat="1" applyFont="1" applyAlignment="1">
      <alignment vertical="center"/>
    </xf>
    <xf numFmtId="0" fontId="13" fillId="0" borderId="0" xfId="0" applyFont="1" applyAlignment="1">
      <alignment vertical="center"/>
    </xf>
    <xf numFmtId="0" fontId="0" fillId="0" borderId="30" xfId="0" applyBorder="1" applyAlignment="1">
      <alignment vertical="center"/>
    </xf>
    <xf numFmtId="176" fontId="0" fillId="0" borderId="30" xfId="0" applyNumberFormat="1" applyBorder="1" applyAlignment="1">
      <alignment vertical="center"/>
    </xf>
    <xf numFmtId="0" fontId="0" fillId="0" borderId="30" xfId="0" applyBorder="1" applyAlignment="1">
      <alignment horizontal="center" vertical="center"/>
    </xf>
    <xf numFmtId="0" fontId="0" fillId="0" borderId="31" xfId="0" applyBorder="1" applyAlignment="1">
      <alignment vertical="center"/>
    </xf>
    <xf numFmtId="38" fontId="0" fillId="0" borderId="0" xfId="5" applyFont="1" applyFill="1" applyBorder="1" applyAlignment="1">
      <alignment horizontal="center"/>
    </xf>
    <xf numFmtId="0" fontId="0" fillId="0" borderId="11" xfId="0" applyBorder="1" applyAlignment="1">
      <alignment horizontal="right"/>
    </xf>
    <xf numFmtId="0" fontId="0" fillId="0" borderId="11" xfId="0" applyBorder="1"/>
    <xf numFmtId="0" fontId="0" fillId="0" borderId="29" xfId="0" applyBorder="1"/>
    <xf numFmtId="0" fontId="0" fillId="0" borderId="28" xfId="0" applyBorder="1"/>
    <xf numFmtId="0" fontId="15" fillId="0" borderId="6" xfId="0" applyFont="1" applyBorder="1" applyAlignment="1">
      <alignment horizontal="center"/>
    </xf>
    <xf numFmtId="0" fontId="0" fillId="0" borderId="32" xfId="0" applyBorder="1" applyAlignment="1">
      <alignment horizontal="right"/>
    </xf>
    <xf numFmtId="0" fontId="0" fillId="0" borderId="17" xfId="0" applyBorder="1" applyAlignment="1">
      <alignment horizontal="right"/>
    </xf>
    <xf numFmtId="0" fontId="0" fillId="0" borderId="22" xfId="0" applyBorder="1"/>
    <xf numFmtId="0" fontId="0" fillId="0" borderId="29" xfId="0" applyBorder="1" applyAlignment="1">
      <alignment horizontal="right"/>
    </xf>
    <xf numFmtId="0" fontId="0" fillId="0" borderId="33" xfId="0" applyBorder="1"/>
    <xf numFmtId="38" fontId="0" fillId="0" borderId="6" xfId="5" applyFont="1" applyFill="1" applyBorder="1" applyAlignment="1">
      <alignment vertical="center"/>
    </xf>
    <xf numFmtId="176" fontId="0" fillId="0" borderId="2" xfId="0" applyNumberFormat="1" applyBorder="1" applyAlignment="1">
      <alignment vertical="center"/>
    </xf>
    <xf numFmtId="178" fontId="0" fillId="0" borderId="7" xfId="7" applyNumberFormat="1" applyFont="1" applyBorder="1" applyAlignment="1">
      <alignment horizontal="right" vertical="center"/>
    </xf>
    <xf numFmtId="0" fontId="0" fillId="0" borderId="14" xfId="0" applyBorder="1" applyAlignment="1">
      <alignment vertical="center"/>
    </xf>
    <xf numFmtId="38" fontId="0" fillId="0" borderId="0" xfId="5" applyFont="1" applyFill="1" applyBorder="1" applyAlignment="1">
      <alignment horizontal="center" vertical="center"/>
    </xf>
    <xf numFmtId="38" fontId="0" fillId="0" borderId="6" xfId="5" applyFont="1" applyFill="1" applyBorder="1" applyAlignment="1">
      <alignment vertical="center" wrapText="1"/>
    </xf>
    <xf numFmtId="0" fontId="12" fillId="0" borderId="7" xfId="0" applyFont="1" applyBorder="1" applyAlignment="1">
      <alignment vertical="center"/>
    </xf>
    <xf numFmtId="38" fontId="0" fillId="0" borderId="0" xfId="9" applyFont="1" applyAlignment="1"/>
    <xf numFmtId="0" fontId="0" fillId="0" borderId="13" xfId="0" applyBorder="1" applyAlignment="1">
      <alignment vertical="center" wrapText="1"/>
    </xf>
    <xf numFmtId="0" fontId="0" fillId="0" borderId="9" xfId="0" applyBorder="1" applyAlignment="1">
      <alignment vertical="center"/>
    </xf>
    <xf numFmtId="38" fontId="13" fillId="0" borderId="0" xfId="0" applyNumberFormat="1" applyFont="1" applyAlignment="1">
      <alignment vertical="center"/>
    </xf>
    <xf numFmtId="176" fontId="0" fillId="0" borderId="9" xfId="0" applyNumberFormat="1" applyBorder="1" applyAlignment="1">
      <alignment vertical="center"/>
    </xf>
    <xf numFmtId="0" fontId="0" fillId="0" borderId="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vertical="center"/>
    </xf>
    <xf numFmtId="176" fontId="0" fillId="0" borderId="41" xfId="0" applyNumberFormat="1" applyBorder="1" applyAlignment="1">
      <alignment vertical="center"/>
    </xf>
    <xf numFmtId="0" fontId="0" fillId="0" borderId="41" xfId="0" applyBorder="1" applyAlignment="1">
      <alignment horizontal="center" vertical="center"/>
    </xf>
    <xf numFmtId="0" fontId="0" fillId="0" borderId="42" xfId="0" applyBorder="1" applyAlignment="1">
      <alignment vertical="center"/>
    </xf>
    <xf numFmtId="0" fontId="0" fillId="0" borderId="1" xfId="0" applyBorder="1" applyAlignment="1">
      <alignment horizontal="center"/>
    </xf>
    <xf numFmtId="0" fontId="0" fillId="0" borderId="2" xfId="0" applyBorder="1" applyAlignment="1">
      <alignment horizontal="center"/>
    </xf>
    <xf numFmtId="176" fontId="0" fillId="0" borderId="2" xfId="0" applyNumberFormat="1" applyBorder="1" applyAlignment="1">
      <alignment horizontal="center"/>
    </xf>
    <xf numFmtId="0" fontId="0" fillId="0" borderId="6" xfId="0" applyBorder="1"/>
    <xf numFmtId="176" fontId="0" fillId="0" borderId="6" xfId="0" applyNumberFormat="1" applyBorder="1"/>
    <xf numFmtId="38" fontId="0" fillId="0" borderId="6" xfId="5" applyFont="1" applyFill="1" applyBorder="1"/>
    <xf numFmtId="38" fontId="0" fillId="0" borderId="0" xfId="5" applyFont="1" applyFill="1" applyBorder="1"/>
    <xf numFmtId="0" fontId="0" fillId="0" borderId="9" xfId="0" applyBorder="1" applyAlignment="1">
      <alignment vertical="center" wrapText="1"/>
    </xf>
    <xf numFmtId="0" fontId="0" fillId="0" borderId="7" xfId="0" applyBorder="1" applyAlignment="1">
      <alignment vertical="center" wrapText="1"/>
    </xf>
    <xf numFmtId="0" fontId="0" fillId="0" borderId="6" xfId="0" applyBorder="1" applyAlignment="1">
      <alignment horizontal="center"/>
    </xf>
    <xf numFmtId="38" fontId="12" fillId="0" borderId="0" xfId="5" applyFont="1" applyFill="1" applyBorder="1" applyAlignment="1">
      <alignment horizontal="center"/>
    </xf>
    <xf numFmtId="38" fontId="0" fillId="0" borderId="0" xfId="9" applyFont="1" applyBorder="1" applyAlignment="1">
      <alignment horizontal="right"/>
    </xf>
    <xf numFmtId="38" fontId="0" fillId="0" borderId="0" xfId="5" applyFont="1" applyFill="1" applyBorder="1" applyAlignment="1">
      <alignment horizontal="right"/>
    </xf>
    <xf numFmtId="0" fontId="12" fillId="0" borderId="0" xfId="0" applyFont="1" applyAlignment="1">
      <alignment horizontal="left"/>
    </xf>
    <xf numFmtId="38" fontId="0" fillId="0" borderId="0" xfId="9" applyFont="1" applyBorder="1" applyAlignment="1"/>
    <xf numFmtId="178" fontId="0" fillId="0" borderId="7" xfId="7" applyNumberFormat="1" applyFont="1" applyBorder="1" applyAlignment="1">
      <alignment horizontal="right"/>
    </xf>
    <xf numFmtId="38" fontId="0" fillId="0" borderId="6" xfId="5" applyFont="1" applyFill="1" applyBorder="1" applyAlignment="1"/>
    <xf numFmtId="0" fontId="15" fillId="0" borderId="9" xfId="0" applyFont="1" applyBorder="1"/>
    <xf numFmtId="0" fontId="15" fillId="0" borderId="18" xfId="0" applyFont="1" applyBorder="1"/>
    <xf numFmtId="2" fontId="0" fillId="0" borderId="11" xfId="0" applyNumberFormat="1" applyBorder="1"/>
    <xf numFmtId="176" fontId="0" fillId="0" borderId="0" xfId="0" applyNumberFormat="1" applyAlignment="1">
      <alignment horizontal="left"/>
    </xf>
    <xf numFmtId="0" fontId="11" fillId="0" borderId="0" xfId="0" applyFont="1" applyAlignment="1">
      <alignment vertical="center"/>
    </xf>
    <xf numFmtId="38" fontId="0" fillId="0" borderId="6" xfId="5" applyFont="1" applyFill="1" applyBorder="1" applyAlignment="1">
      <alignment horizontal="right"/>
    </xf>
    <xf numFmtId="38" fontId="0" fillId="0" borderId="6" xfId="5" applyFont="1" applyFill="1" applyBorder="1" applyAlignment="1">
      <alignment horizontal="left"/>
    </xf>
    <xf numFmtId="176" fontId="0" fillId="0" borderId="39" xfId="0" applyNumberFormat="1" applyBorder="1" applyAlignment="1">
      <alignment horizontal="center" vertical="center"/>
    </xf>
    <xf numFmtId="0" fontId="0" fillId="0" borderId="44" xfId="0" applyBorder="1" applyAlignment="1">
      <alignment horizontal="center" vertical="center"/>
    </xf>
    <xf numFmtId="0" fontId="0" fillId="0" borderId="7" xfId="0" applyBorder="1" applyAlignment="1">
      <alignment horizontal="left" vertical="center" wrapText="1"/>
    </xf>
    <xf numFmtId="0" fontId="0" fillId="0" borderId="7" xfId="0" applyBorder="1" applyAlignment="1">
      <alignment horizontal="left" vertical="center"/>
    </xf>
    <xf numFmtId="0" fontId="0" fillId="0" borderId="6" xfId="0" applyBorder="1" applyAlignment="1">
      <alignment horizontal="left" vertical="center" wrapText="1"/>
    </xf>
    <xf numFmtId="0" fontId="0" fillId="0" borderId="6" xfId="0" applyBorder="1" applyAlignment="1">
      <alignment horizontal="left" vertical="center"/>
    </xf>
    <xf numFmtId="176" fontId="0" fillId="0" borderId="6" xfId="0" applyNumberFormat="1" applyBorder="1" applyAlignment="1">
      <alignment horizontal="right"/>
    </xf>
    <xf numFmtId="176" fontId="0" fillId="0" borderId="0" xfId="0" applyNumberFormat="1" applyAlignment="1">
      <alignment horizontal="right"/>
    </xf>
    <xf numFmtId="0" fontId="0" fillId="0" borderId="8" xfId="0" applyBorder="1" applyAlignment="1">
      <alignment vertical="center"/>
    </xf>
    <xf numFmtId="0" fontId="0" fillId="0" borderId="10" xfId="0" applyBorder="1" applyAlignment="1">
      <alignment vertical="center"/>
    </xf>
    <xf numFmtId="0" fontId="0" fillId="0" borderId="50" xfId="0" applyBorder="1" applyAlignment="1">
      <alignment vertical="center" wrapText="1"/>
    </xf>
    <xf numFmtId="0" fontId="0" fillId="0" borderId="48" xfId="0" applyBorder="1" applyAlignment="1">
      <alignment vertical="center" wrapText="1"/>
    </xf>
    <xf numFmtId="38" fontId="0" fillId="0" borderId="9" xfId="5" applyFont="1" applyFill="1" applyBorder="1" applyAlignment="1">
      <alignment vertical="center"/>
    </xf>
    <xf numFmtId="38" fontId="5" fillId="0" borderId="6" xfId="5" applyFont="1" applyFill="1" applyBorder="1" applyAlignment="1">
      <alignment vertical="center" wrapText="1"/>
    </xf>
    <xf numFmtId="0" fontId="0" fillId="0" borderId="27" xfId="0" applyBorder="1" applyAlignment="1">
      <alignment vertical="center" wrapText="1"/>
    </xf>
    <xf numFmtId="0" fontId="0" fillId="0" borderId="22" xfId="0" applyBorder="1" applyAlignment="1">
      <alignment vertical="center" wrapText="1"/>
    </xf>
    <xf numFmtId="38" fontId="0" fillId="0" borderId="22" xfId="5" applyFont="1" applyFill="1" applyBorder="1" applyAlignment="1">
      <alignment vertical="center"/>
    </xf>
    <xf numFmtId="176" fontId="0" fillId="0" borderId="22" xfId="0" applyNumberFormat="1" applyBorder="1" applyAlignment="1">
      <alignment vertical="center"/>
    </xf>
    <xf numFmtId="0" fontId="0" fillId="0" borderId="22" xfId="0" applyBorder="1" applyAlignment="1">
      <alignment vertical="center"/>
    </xf>
    <xf numFmtId="0" fontId="0" fillId="0" borderId="5" xfId="0" applyBorder="1" applyAlignment="1">
      <alignment horizontal="center" vertical="center"/>
    </xf>
    <xf numFmtId="0" fontId="0" fillId="0" borderId="37" xfId="0" applyBorder="1" applyAlignment="1">
      <alignment vertical="center" wrapText="1"/>
    </xf>
    <xf numFmtId="38" fontId="0" fillId="0" borderId="11" xfId="5" applyFont="1" applyFill="1" applyBorder="1" applyAlignment="1">
      <alignment vertical="center"/>
    </xf>
    <xf numFmtId="0" fontId="0" fillId="0" borderId="11" xfId="0" applyBorder="1" applyAlignment="1">
      <alignment vertical="center"/>
    </xf>
    <xf numFmtId="0" fontId="0" fillId="0" borderId="11" xfId="0" applyBorder="1" applyAlignment="1">
      <alignment horizontal="center" vertical="center"/>
    </xf>
    <xf numFmtId="0" fontId="0" fillId="0" borderId="27" xfId="0"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0" fillId="0" borderId="53" xfId="0" applyBorder="1" applyAlignment="1">
      <alignment vertical="center" wrapText="1"/>
    </xf>
    <xf numFmtId="0" fontId="0" fillId="0" borderId="33" xfId="0" applyBorder="1" applyAlignment="1">
      <alignment vertical="center" wrapText="1"/>
    </xf>
    <xf numFmtId="0" fontId="0" fillId="0" borderId="38" xfId="0" applyBorder="1" applyAlignment="1">
      <alignment horizontal="center" vertical="center"/>
    </xf>
    <xf numFmtId="0" fontId="0" fillId="0" borderId="26" xfId="0" applyBorder="1" applyAlignment="1">
      <alignment horizontal="center" vertical="center"/>
    </xf>
    <xf numFmtId="0" fontId="0" fillId="0" borderId="39" xfId="0" applyBorder="1" applyAlignment="1">
      <alignment horizontal="center" vertical="center"/>
    </xf>
    <xf numFmtId="176" fontId="0" fillId="0" borderId="39" xfId="0" applyNumberFormat="1" applyBorder="1" applyAlignment="1">
      <alignment vertical="center"/>
    </xf>
    <xf numFmtId="0" fontId="0" fillId="0" borderId="39" xfId="0" applyBorder="1" applyAlignment="1">
      <alignment vertical="center"/>
    </xf>
    <xf numFmtId="0" fontId="12" fillId="0" borderId="44" xfId="0" applyFont="1" applyBorder="1" applyAlignment="1">
      <alignment vertical="center" wrapText="1"/>
    </xf>
    <xf numFmtId="0" fontId="12" fillId="0" borderId="7" xfId="0" applyFont="1" applyBorder="1" applyAlignment="1">
      <alignment vertical="center" wrapText="1"/>
    </xf>
    <xf numFmtId="176" fontId="16" fillId="0" borderId="6" xfId="0" applyNumberFormat="1" applyFont="1" applyBorder="1" applyAlignment="1">
      <alignment vertical="center"/>
    </xf>
    <xf numFmtId="0" fontId="16" fillId="0" borderId="0" xfId="0" applyFont="1"/>
    <xf numFmtId="0" fontId="16" fillId="0" borderId="0" xfId="0" applyFont="1" applyAlignment="1">
      <alignment horizontal="center"/>
    </xf>
    <xf numFmtId="176" fontId="16" fillId="0" borderId="0" xfId="0" applyNumberFormat="1" applyFont="1"/>
    <xf numFmtId="0" fontId="17" fillId="0" borderId="0" xfId="0" applyFont="1" applyAlignment="1">
      <alignment vertical="center"/>
    </xf>
    <xf numFmtId="0" fontId="16" fillId="0" borderId="0" xfId="0" applyFont="1" applyAlignment="1">
      <alignment vertical="center"/>
    </xf>
    <xf numFmtId="0" fontId="16" fillId="0" borderId="0" xfId="0" applyFont="1" applyAlignment="1">
      <alignment horizontal="right"/>
    </xf>
    <xf numFmtId="0" fontId="16" fillId="0" borderId="0" xfId="0" applyFont="1" applyAlignment="1">
      <alignment horizontal="center" vertical="center"/>
    </xf>
    <xf numFmtId="38" fontId="16" fillId="0" borderId="0" xfId="5" applyFont="1" applyFill="1" applyBorder="1" applyAlignment="1">
      <alignment vertical="center"/>
    </xf>
    <xf numFmtId="38" fontId="16" fillId="0" borderId="6" xfId="5" applyFont="1" applyFill="1" applyBorder="1" applyAlignment="1">
      <alignment vertical="center"/>
    </xf>
    <xf numFmtId="38" fontId="16" fillId="0" borderId="0" xfId="9" applyFont="1" applyFill="1" applyBorder="1" applyAlignment="1"/>
    <xf numFmtId="38" fontId="16" fillId="0" borderId="0" xfId="5" applyFont="1" applyFill="1" applyBorder="1" applyAlignment="1">
      <alignment horizontal="center" vertical="center"/>
    </xf>
    <xf numFmtId="9" fontId="16" fillId="0" borderId="0" xfId="7" applyFont="1" applyFill="1" applyBorder="1" applyAlignment="1"/>
    <xf numFmtId="176" fontId="16" fillId="0" borderId="0" xfId="0" applyNumberFormat="1" applyFont="1" applyAlignment="1">
      <alignment vertical="center"/>
    </xf>
    <xf numFmtId="38" fontId="16" fillId="0" borderId="6" xfId="5" applyFont="1" applyFill="1" applyBorder="1" applyAlignment="1">
      <alignment vertical="center" wrapText="1"/>
    </xf>
    <xf numFmtId="38" fontId="16" fillId="0" borderId="0" xfId="5" applyFont="1"/>
    <xf numFmtId="177" fontId="16" fillId="0" borderId="0" xfId="5" applyNumberFormat="1" applyFont="1"/>
    <xf numFmtId="40" fontId="16" fillId="0" borderId="0" xfId="5" applyNumberFormat="1" applyFont="1"/>
    <xf numFmtId="179" fontId="16" fillId="0" borderId="0" xfId="5" applyNumberFormat="1" applyFont="1"/>
    <xf numFmtId="38" fontId="5" fillId="0" borderId="0" xfId="5" applyFont="1" applyBorder="1" applyAlignment="1">
      <alignment horizontal="center" vertical="center"/>
    </xf>
    <xf numFmtId="0" fontId="5" fillId="0" borderId="0" xfId="0" applyFont="1" applyAlignment="1">
      <alignment horizontal="center"/>
    </xf>
    <xf numFmtId="38" fontId="5" fillId="0" borderId="6" xfId="5" applyFont="1" applyFill="1" applyBorder="1"/>
    <xf numFmtId="38" fontId="5" fillId="0" borderId="6" xfId="5" applyFont="1" applyFill="1" applyBorder="1" applyAlignment="1"/>
    <xf numFmtId="38" fontId="5" fillId="0" borderId="0" xfId="5" applyFont="1" applyFill="1" applyBorder="1" applyAlignment="1">
      <alignment vertical="center"/>
    </xf>
    <xf numFmtId="0" fontId="5" fillId="0" borderId="0" xfId="0" applyFont="1"/>
    <xf numFmtId="0" fontId="0" fillId="0" borderId="0" xfId="0" applyAlignment="1">
      <alignment horizontal="left"/>
    </xf>
    <xf numFmtId="38" fontId="0" fillId="0" borderId="6" xfId="9" applyFont="1" applyFill="1" applyBorder="1" applyAlignment="1"/>
    <xf numFmtId="0" fontId="1" fillId="0" borderId="0" xfId="10">
      <alignment vertical="center"/>
    </xf>
    <xf numFmtId="0" fontId="18" fillId="0" borderId="55" xfId="10" applyFont="1" applyBorder="1" applyAlignment="1">
      <alignment horizontal="center" vertical="top" wrapText="1"/>
    </xf>
    <xf numFmtId="0" fontId="18" fillId="0" borderId="56" xfId="10" applyFont="1" applyBorder="1" applyAlignment="1">
      <alignment horizontal="center" vertical="top" wrapText="1"/>
    </xf>
    <xf numFmtId="0" fontId="22" fillId="0" borderId="0" xfId="10" applyFont="1" applyAlignment="1">
      <alignment horizontal="left" vertical="center" indent="4"/>
    </xf>
    <xf numFmtId="0" fontId="19" fillId="0" borderId="58" xfId="10" applyFont="1" applyBorder="1" applyAlignment="1">
      <alignment horizontal="center" vertical="top" wrapText="1"/>
    </xf>
    <xf numFmtId="0" fontId="19" fillId="0" borderId="63" xfId="10" applyFont="1" applyBorder="1" applyAlignment="1">
      <alignment horizontal="center" vertical="top" wrapText="1"/>
    </xf>
    <xf numFmtId="0" fontId="18" fillId="0" borderId="67" xfId="10" applyFont="1" applyBorder="1" applyAlignment="1">
      <alignment horizontal="center" vertical="top" wrapText="1"/>
    </xf>
    <xf numFmtId="0" fontId="18" fillId="0" borderId="68" xfId="10" applyFont="1" applyBorder="1" applyAlignment="1">
      <alignment horizontal="center" vertical="top" wrapText="1"/>
    </xf>
    <xf numFmtId="0" fontId="18" fillId="0" borderId="69" xfId="10" applyFont="1" applyBorder="1" applyAlignment="1">
      <alignment horizontal="center" vertical="top" wrapText="1"/>
    </xf>
    <xf numFmtId="0" fontId="18" fillId="0" borderId="65" xfId="10" applyFont="1" applyBorder="1" applyAlignment="1">
      <alignment horizontal="center" vertical="top" wrapText="1"/>
    </xf>
    <xf numFmtId="3" fontId="19" fillId="0" borderId="56" xfId="10" applyNumberFormat="1" applyFont="1" applyBorder="1" applyAlignment="1">
      <alignment horizontal="right" vertical="top" wrapText="1"/>
    </xf>
    <xf numFmtId="0" fontId="19" fillId="0" borderId="72" xfId="10" applyFont="1" applyBorder="1" applyAlignment="1">
      <alignment horizontal="justify" vertical="top" wrapText="1"/>
    </xf>
    <xf numFmtId="0" fontId="18" fillId="0" borderId="62" xfId="10" applyFont="1" applyBorder="1" applyAlignment="1">
      <alignment horizontal="justify" vertical="top" wrapText="1"/>
    </xf>
    <xf numFmtId="0" fontId="19" fillId="0" borderId="56" xfId="10" applyFont="1" applyBorder="1" applyAlignment="1">
      <alignment horizontal="right" vertical="top" wrapText="1"/>
    </xf>
    <xf numFmtId="0" fontId="18" fillId="0" borderId="72" xfId="10" applyFont="1" applyBorder="1" applyAlignment="1">
      <alignment horizontal="justify" vertical="top" wrapText="1"/>
    </xf>
    <xf numFmtId="0" fontId="18" fillId="0" borderId="80" xfId="10" applyFont="1" applyBorder="1" applyAlignment="1">
      <alignment horizontal="justify" vertical="top" wrapText="1"/>
    </xf>
    <xf numFmtId="0" fontId="1" fillId="0" borderId="80" xfId="10" applyBorder="1" applyAlignment="1">
      <alignment vertical="top" wrapText="1"/>
    </xf>
    <xf numFmtId="0" fontId="1" fillId="0" borderId="72" xfId="10" applyBorder="1" applyAlignment="1">
      <alignment vertical="top" wrapText="1"/>
    </xf>
    <xf numFmtId="0" fontId="25" fillId="0" borderId="72" xfId="10" applyFont="1" applyBorder="1" applyAlignment="1">
      <alignment horizontal="justify" vertical="top" wrapText="1"/>
    </xf>
    <xf numFmtId="0" fontId="18" fillId="0" borderId="81" xfId="10" applyFont="1" applyBorder="1" applyAlignment="1">
      <alignment horizontal="justify" vertical="top" wrapText="1"/>
    </xf>
    <xf numFmtId="3" fontId="19" fillId="0" borderId="82" xfId="10" applyNumberFormat="1" applyFont="1" applyBorder="1" applyAlignment="1">
      <alignment horizontal="right" vertical="top" wrapText="1"/>
    </xf>
    <xf numFmtId="0" fontId="19" fillId="0" borderId="82" xfId="10" applyFont="1" applyBorder="1" applyAlignment="1">
      <alignment horizontal="right" vertical="top" wrapText="1"/>
    </xf>
    <xf numFmtId="0" fontId="19" fillId="0" borderId="81" xfId="10" applyFont="1" applyBorder="1" applyAlignment="1">
      <alignment horizontal="justify" vertical="top" wrapText="1"/>
    </xf>
    <xf numFmtId="0" fontId="19" fillId="0" borderId="82" xfId="10" applyFont="1" applyBorder="1" applyAlignment="1">
      <alignment horizontal="justify" vertical="top" wrapText="1"/>
    </xf>
    <xf numFmtId="0" fontId="1" fillId="0" borderId="81" xfId="10" applyBorder="1" applyAlignment="1">
      <alignment vertical="top" wrapText="1"/>
    </xf>
    <xf numFmtId="0" fontId="19" fillId="0" borderId="54" xfId="10" applyFont="1" applyBorder="1" applyAlignment="1">
      <alignment horizontal="justify" vertical="top" wrapText="1"/>
    </xf>
    <xf numFmtId="0" fontId="18" fillId="0" borderId="55" xfId="10" applyFont="1" applyBorder="1" applyAlignment="1">
      <alignment horizontal="justify" vertical="top" wrapText="1"/>
    </xf>
    <xf numFmtId="0" fontId="19" fillId="0" borderId="0" xfId="10" applyFont="1" applyAlignment="1">
      <alignment horizontal="justify" vertical="center"/>
    </xf>
    <xf numFmtId="0" fontId="18" fillId="0" borderId="54" xfId="10" applyFont="1" applyBorder="1" applyAlignment="1">
      <alignment horizontal="justify" vertical="top" wrapText="1"/>
    </xf>
    <xf numFmtId="0" fontId="18" fillId="0" borderId="75" xfId="10" applyFont="1" applyBorder="1" applyAlignment="1">
      <alignment horizontal="justify" vertical="top" wrapText="1"/>
    </xf>
    <xf numFmtId="0" fontId="19" fillId="0" borderId="75" xfId="10" applyFont="1" applyBorder="1" applyAlignment="1">
      <alignment horizontal="justify" vertical="top" wrapText="1"/>
    </xf>
    <xf numFmtId="0" fontId="27" fillId="0" borderId="0" xfId="10" applyFont="1" applyAlignment="1">
      <alignment vertical="center" wrapText="1"/>
    </xf>
    <xf numFmtId="0" fontId="19" fillId="0" borderId="63" xfId="10" applyFont="1" applyBorder="1" applyAlignment="1">
      <alignment horizontal="justify" vertical="top" wrapText="1"/>
    </xf>
    <xf numFmtId="0" fontId="18" fillId="0" borderId="75" xfId="10" applyFont="1" applyBorder="1" applyAlignment="1">
      <alignment horizontal="center" vertical="top" wrapText="1"/>
    </xf>
    <xf numFmtId="0" fontId="18" fillId="0" borderId="89" xfId="10" applyFont="1" applyBorder="1" applyAlignment="1">
      <alignment horizontal="center" vertical="top" wrapText="1"/>
    </xf>
    <xf numFmtId="0" fontId="18" fillId="0" borderId="89" xfId="10" applyFont="1" applyBorder="1" applyAlignment="1">
      <alignment horizontal="justify" vertical="top" wrapText="1"/>
    </xf>
    <xf numFmtId="0" fontId="19" fillId="0" borderId="89" xfId="10" applyFont="1" applyBorder="1" applyAlignment="1">
      <alignment horizontal="center" vertical="top" wrapText="1"/>
    </xf>
    <xf numFmtId="0" fontId="1" fillId="0" borderId="55" xfId="10" applyBorder="1" applyAlignment="1">
      <alignment vertical="top" wrapText="1"/>
    </xf>
    <xf numFmtId="0" fontId="1" fillId="0" borderId="56" xfId="10" applyBorder="1" applyAlignment="1">
      <alignment vertical="top" wrapText="1"/>
    </xf>
    <xf numFmtId="0" fontId="19" fillId="0" borderId="75" xfId="10" applyFont="1" applyBorder="1" applyAlignment="1">
      <alignment horizontal="center" vertical="top" wrapText="1"/>
    </xf>
    <xf numFmtId="0" fontId="18" fillId="0" borderId="89" xfId="10" applyFont="1" applyBorder="1" applyAlignment="1">
      <alignment horizontal="right" vertical="center" wrapText="1"/>
    </xf>
    <xf numFmtId="0" fontId="18" fillId="0" borderId="56" xfId="10" applyFont="1" applyBorder="1" applyAlignment="1">
      <alignment horizontal="right" vertical="center" wrapText="1"/>
    </xf>
    <xf numFmtId="0" fontId="19" fillId="0" borderId="55" xfId="10" applyFont="1" applyBorder="1" applyAlignment="1">
      <alignment horizontal="justify" vertical="top" wrapText="1"/>
    </xf>
    <xf numFmtId="0" fontId="19" fillId="0" borderId="89" xfId="10" applyFont="1" applyBorder="1" applyAlignment="1">
      <alignment horizontal="justify" vertical="top" wrapText="1"/>
    </xf>
    <xf numFmtId="0" fontId="18" fillId="0" borderId="92" xfId="10" applyFont="1" applyBorder="1" applyAlignment="1">
      <alignment horizontal="center" vertical="top" wrapText="1"/>
    </xf>
    <xf numFmtId="0" fontId="18" fillId="0" borderId="93" xfId="10" applyFont="1" applyBorder="1" applyAlignment="1">
      <alignment horizontal="center" vertical="top" wrapText="1"/>
    </xf>
    <xf numFmtId="0" fontId="28" fillId="0" borderId="0" xfId="10" applyFont="1" applyAlignment="1">
      <alignment horizontal="justify" vertical="center" wrapText="1"/>
    </xf>
    <xf numFmtId="0" fontId="19" fillId="0" borderId="92" xfId="10" applyFont="1" applyBorder="1" applyAlignment="1">
      <alignment horizontal="justify" vertical="top" wrapText="1"/>
    </xf>
    <xf numFmtId="0" fontId="29" fillId="0" borderId="75" xfId="10" applyFont="1" applyBorder="1" applyAlignment="1">
      <alignment horizontal="justify" vertical="center" wrapText="1"/>
    </xf>
    <xf numFmtId="0" fontId="29" fillId="0" borderId="89" xfId="10" applyFont="1" applyBorder="1" applyAlignment="1">
      <alignment horizontal="justify" vertical="center" wrapText="1"/>
    </xf>
    <xf numFmtId="0" fontId="29" fillId="0" borderId="55" xfId="10" applyFont="1" applyBorder="1" applyAlignment="1">
      <alignment horizontal="justify" vertical="center" wrapText="1"/>
    </xf>
    <xf numFmtId="0" fontId="29" fillId="0" borderId="56" xfId="10" applyFont="1" applyBorder="1" applyAlignment="1">
      <alignment horizontal="justify" vertical="center" wrapText="1"/>
    </xf>
    <xf numFmtId="0" fontId="19" fillId="0" borderId="56" xfId="10" applyFont="1" applyBorder="1" applyAlignment="1">
      <alignment horizontal="justify" vertical="top" wrapText="1"/>
    </xf>
    <xf numFmtId="0" fontId="18" fillId="0" borderId="56" xfId="10" applyFont="1" applyBorder="1" applyAlignment="1">
      <alignment horizontal="justify" vertical="top" wrapText="1"/>
    </xf>
    <xf numFmtId="0" fontId="18" fillId="0" borderId="56" xfId="10" applyFont="1" applyBorder="1" applyAlignment="1">
      <alignment horizontal="left" vertical="top" wrapText="1"/>
    </xf>
    <xf numFmtId="0" fontId="28" fillId="0" borderId="0" xfId="10" applyFont="1" applyAlignment="1">
      <alignment horizontal="justify" vertical="center"/>
    </xf>
    <xf numFmtId="0" fontId="1" fillId="0" borderId="75" xfId="10" applyBorder="1" applyAlignment="1">
      <alignment vertical="top" wrapText="1"/>
    </xf>
    <xf numFmtId="0" fontId="19" fillId="0" borderId="55" xfId="10" applyFont="1" applyBorder="1" applyAlignment="1">
      <alignment horizontal="left" vertical="top" wrapText="1"/>
    </xf>
    <xf numFmtId="0" fontId="19" fillId="0" borderId="56" xfId="10" applyFont="1" applyBorder="1" applyAlignment="1">
      <alignment horizontal="left" vertical="top" wrapText="1"/>
    </xf>
    <xf numFmtId="0" fontId="19" fillId="0" borderId="55" xfId="10" applyFont="1" applyBorder="1" applyAlignment="1">
      <alignment vertical="top" wrapText="1"/>
    </xf>
    <xf numFmtId="0" fontId="21" fillId="0" borderId="0" xfId="10" applyFont="1" applyAlignment="1">
      <alignment horizontal="justify" vertical="center"/>
    </xf>
    <xf numFmtId="0" fontId="1" fillId="0" borderId="89" xfId="10" applyBorder="1" applyAlignment="1">
      <alignment vertical="top" wrapText="1"/>
    </xf>
    <xf numFmtId="0" fontId="0" fillId="0" borderId="12" xfId="0" applyBorder="1" applyAlignment="1">
      <alignment vertical="center" wrapText="1"/>
    </xf>
    <xf numFmtId="176" fontId="0" fillId="0" borderId="12" xfId="0" applyNumberFormat="1" applyBorder="1" applyAlignment="1">
      <alignment vertical="center"/>
    </xf>
    <xf numFmtId="0" fontId="0" fillId="0" borderId="12" xfId="0" applyBorder="1" applyAlignment="1">
      <alignment vertical="center"/>
    </xf>
    <xf numFmtId="0" fontId="0" fillId="0" borderId="12" xfId="0" applyBorder="1" applyAlignment="1">
      <alignment horizontal="center" vertical="center"/>
    </xf>
    <xf numFmtId="177" fontId="0" fillId="0" borderId="0" xfId="5" applyNumberFormat="1" applyFont="1" applyAlignment="1">
      <alignment vertical="center"/>
    </xf>
    <xf numFmtId="38" fontId="1" fillId="0" borderId="0" xfId="9" applyFont="1">
      <alignment vertical="center"/>
    </xf>
    <xf numFmtId="0" fontId="0" fillId="0" borderId="14" xfId="0" applyBorder="1" applyAlignment="1">
      <alignment vertical="center" wrapText="1"/>
    </xf>
    <xf numFmtId="176" fontId="0" fillId="0" borderId="14" xfId="0" applyNumberFormat="1" applyBorder="1" applyAlignment="1">
      <alignment vertical="center"/>
    </xf>
    <xf numFmtId="0" fontId="0" fillId="0" borderId="14" xfId="0" applyBorder="1" applyAlignment="1">
      <alignment horizontal="center" vertical="center"/>
    </xf>
    <xf numFmtId="0" fontId="0" fillId="0" borderId="15" xfId="0" applyBorder="1" applyAlignment="1">
      <alignment vertical="center" wrapText="1"/>
    </xf>
    <xf numFmtId="0" fontId="0" fillId="0" borderId="6" xfId="0" applyBorder="1" applyAlignment="1">
      <alignment vertical="center" wrapText="1"/>
    </xf>
    <xf numFmtId="38" fontId="30" fillId="0" borderId="0" xfId="10" applyNumberFormat="1" applyFont="1">
      <alignment vertical="center"/>
    </xf>
    <xf numFmtId="38" fontId="31" fillId="0" borderId="0" xfId="9" applyFont="1">
      <alignment vertical="center"/>
    </xf>
    <xf numFmtId="0" fontId="0" fillId="0" borderId="12" xfId="0" applyBorder="1" applyAlignment="1">
      <alignment horizontal="left" vertical="center" wrapText="1"/>
    </xf>
    <xf numFmtId="0" fontId="12" fillId="0" borderId="37" xfId="0" applyFont="1" applyBorder="1" applyAlignment="1">
      <alignment vertical="center"/>
    </xf>
    <xf numFmtId="38" fontId="0" fillId="0" borderId="6" xfId="9" applyFont="1" applyBorder="1" applyAlignment="1">
      <alignment horizontal="center"/>
    </xf>
    <xf numFmtId="38" fontId="1" fillId="0" borderId="0" xfId="10" applyNumberFormat="1">
      <alignment vertical="center"/>
    </xf>
    <xf numFmtId="38" fontId="0" fillId="0" borderId="11" xfId="0" applyNumberFormat="1" applyBorder="1"/>
    <xf numFmtId="38" fontId="0" fillId="0" borderId="6" xfId="9" applyFont="1" applyBorder="1" applyAlignment="1">
      <alignment horizontal="right" vertical="center"/>
    </xf>
    <xf numFmtId="38" fontId="5" fillId="0" borderId="6" xfId="9" applyFont="1" applyFill="1" applyBorder="1" applyAlignment="1">
      <alignment horizontal="right" vertical="center"/>
    </xf>
    <xf numFmtId="38" fontId="0" fillId="0" borderId="6" xfId="9" applyFont="1" applyFill="1" applyBorder="1" applyAlignment="1">
      <alignment horizontal="right" vertical="center"/>
    </xf>
    <xf numFmtId="176" fontId="0" fillId="0" borderId="0" xfId="7" applyNumberFormat="1" applyFont="1" applyFill="1" applyBorder="1" applyAlignment="1"/>
    <xf numFmtId="38" fontId="0" fillId="0" borderId="0" xfId="9" applyFont="1" applyAlignment="1">
      <alignment horizontal="right" vertical="center"/>
    </xf>
    <xf numFmtId="179" fontId="0" fillId="0" borderId="6" xfId="9" applyNumberFormat="1" applyFont="1" applyBorder="1" applyAlignment="1">
      <alignment horizontal="right" vertical="center"/>
    </xf>
    <xf numFmtId="176" fontId="0" fillId="0" borderId="6" xfId="0" applyNumberFormat="1" applyBorder="1" applyAlignment="1">
      <alignment horizontal="center" vertical="center"/>
    </xf>
    <xf numFmtId="0" fontId="12" fillId="0" borderId="6" xfId="0" applyFont="1" applyBorder="1" applyAlignment="1">
      <alignment vertical="center"/>
    </xf>
    <xf numFmtId="0" fontId="32" fillId="0" borderId="0" xfId="10" applyFont="1">
      <alignment vertical="center"/>
    </xf>
    <xf numFmtId="0" fontId="0" fillId="0" borderId="0" xfId="0" applyAlignment="1">
      <alignment vertical="top"/>
    </xf>
    <xf numFmtId="0" fontId="11" fillId="0" borderId="4" xfId="0" applyFont="1" applyBorder="1" applyAlignment="1">
      <alignment vertical="center"/>
    </xf>
    <xf numFmtId="0" fontId="0" fillId="0" borderId="22" xfId="0" applyBorder="1" applyAlignment="1">
      <alignment horizontal="center" vertical="center"/>
    </xf>
    <xf numFmtId="0" fontId="0" fillId="0" borderId="34" xfId="0" quotePrefix="1" applyBorder="1" applyAlignment="1">
      <alignment vertical="center" wrapText="1"/>
    </xf>
    <xf numFmtId="0" fontId="0" fillId="0" borderId="11" xfId="0" applyBorder="1" applyAlignment="1">
      <alignment vertical="center" wrapText="1"/>
    </xf>
    <xf numFmtId="176" fontId="0" fillId="0" borderId="5" xfId="0" applyNumberFormat="1" applyBorder="1" applyAlignment="1">
      <alignment vertical="center"/>
    </xf>
    <xf numFmtId="0" fontId="0" fillId="0" borderId="35" xfId="0" applyBorder="1" applyAlignment="1">
      <alignment vertical="center"/>
    </xf>
    <xf numFmtId="0" fontId="0" fillId="0" borderId="24" xfId="0" applyBorder="1" applyAlignment="1">
      <alignment vertical="center"/>
    </xf>
    <xf numFmtId="176" fontId="0" fillId="0" borderId="24" xfId="0" applyNumberFormat="1" applyBorder="1" applyAlignment="1">
      <alignment vertical="center"/>
    </xf>
    <xf numFmtId="0" fontId="0" fillId="0" borderId="25" xfId="0" applyBorder="1" applyAlignment="1">
      <alignment horizontal="center" vertical="center"/>
    </xf>
    <xf numFmtId="38" fontId="0" fillId="0" borderId="13" xfId="5" applyFont="1" applyFill="1" applyBorder="1" applyAlignment="1">
      <alignment horizontal="center" vertical="center"/>
    </xf>
    <xf numFmtId="9" fontId="0" fillId="0" borderId="7" xfId="0" applyNumberFormat="1" applyBorder="1" applyAlignment="1">
      <alignment vertical="center"/>
    </xf>
    <xf numFmtId="0" fontId="0" fillId="0" borderId="15" xfId="0" applyBorder="1" applyAlignment="1">
      <alignment vertical="center"/>
    </xf>
    <xf numFmtId="0" fontId="0" fillId="0" borderId="9" xfId="0" applyBorder="1" applyAlignment="1">
      <alignment wrapText="1"/>
    </xf>
    <xf numFmtId="0" fontId="7" fillId="0" borderId="11" xfId="0" applyFont="1" applyBorder="1"/>
    <xf numFmtId="1" fontId="0" fillId="0" borderId="6" xfId="0" applyNumberFormat="1" applyBorder="1" applyAlignment="1">
      <alignment horizontal="center"/>
    </xf>
    <xf numFmtId="0" fontId="14" fillId="0" borderId="7" xfId="0" applyFont="1" applyBorder="1" applyAlignment="1">
      <alignment vertical="center" wrapText="1"/>
    </xf>
    <xf numFmtId="38" fontId="0" fillId="0" borderId="29" xfId="0" applyNumberFormat="1" applyBorder="1" applyAlignment="1">
      <alignment horizontal="right"/>
    </xf>
    <xf numFmtId="38" fontId="33" fillId="0" borderId="0" xfId="9" applyFont="1">
      <alignment vertical="center"/>
    </xf>
    <xf numFmtId="38" fontId="34" fillId="0" borderId="0" xfId="10" applyNumberFormat="1" applyFont="1">
      <alignment vertical="center"/>
    </xf>
    <xf numFmtId="38" fontId="35" fillId="0" borderId="0" xfId="9" applyFont="1">
      <alignment vertical="center"/>
    </xf>
    <xf numFmtId="0" fontId="36" fillId="0" borderId="0" xfId="10" applyFont="1">
      <alignment vertical="center"/>
    </xf>
    <xf numFmtId="38" fontId="13" fillId="0" borderId="0" xfId="0" applyNumberFormat="1" applyFont="1" applyAlignment="1">
      <alignment horizontal="left" vertical="center"/>
    </xf>
    <xf numFmtId="0" fontId="0" fillId="0" borderId="38" xfId="0" applyBorder="1" applyAlignment="1">
      <alignment horizontal="center"/>
    </xf>
    <xf numFmtId="0" fontId="0" fillId="0" borderId="39" xfId="0" applyBorder="1" applyAlignment="1">
      <alignment horizontal="center"/>
    </xf>
    <xf numFmtId="176" fontId="0" fillId="0" borderId="39" xfId="0" applyNumberFormat="1" applyBorder="1" applyAlignment="1">
      <alignment horizontal="center"/>
    </xf>
    <xf numFmtId="0" fontId="0" fillId="0" borderId="44" xfId="0" applyBorder="1" applyAlignment="1">
      <alignment horizontal="center"/>
    </xf>
    <xf numFmtId="176" fontId="0" fillId="0" borderId="0" xfId="0" applyNumberFormat="1" applyAlignment="1">
      <alignment horizontal="center"/>
    </xf>
    <xf numFmtId="0" fontId="0" fillId="0" borderId="7" xfId="0" applyBorder="1" applyAlignment="1">
      <alignment vertical="top" wrapText="1"/>
    </xf>
    <xf numFmtId="0" fontId="0" fillId="0" borderId="45" xfId="0" applyBorder="1" applyAlignment="1">
      <alignment horizontal="center" vertical="center"/>
    </xf>
    <xf numFmtId="0" fontId="0" fillId="0" borderId="14"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vertical="center"/>
    </xf>
    <xf numFmtId="0" fontId="0" fillId="0" borderId="3" xfId="0" applyBorder="1" applyAlignment="1">
      <alignment vertical="center" wrapText="1"/>
    </xf>
    <xf numFmtId="0" fontId="0" fillId="0" borderId="31" xfId="0" applyBorder="1"/>
    <xf numFmtId="38" fontId="0" fillId="0" borderId="15" xfId="8" applyFont="1" applyBorder="1" applyAlignment="1"/>
    <xf numFmtId="38" fontId="0" fillId="0" borderId="0" xfId="0" applyNumberFormat="1"/>
    <xf numFmtId="180" fontId="0" fillId="0" borderId="0" xfId="5" applyNumberFormat="1" applyFont="1"/>
    <xf numFmtId="0" fontId="0" fillId="0" borderId="10" xfId="0" applyBorder="1" applyAlignment="1">
      <alignment horizontal="left" vertical="center" wrapText="1"/>
    </xf>
    <xf numFmtId="0" fontId="0" fillId="0" borderId="35" xfId="0" applyBorder="1" applyAlignment="1">
      <alignment horizontal="left" vertical="center" wrapText="1"/>
    </xf>
    <xf numFmtId="0" fontId="0" fillId="3" borderId="0" xfId="0" applyFill="1" applyAlignment="1">
      <alignment vertical="center"/>
    </xf>
    <xf numFmtId="182" fontId="0" fillId="0" borderId="0" xfId="0" applyNumberFormat="1" applyAlignment="1">
      <alignment vertical="center"/>
    </xf>
    <xf numFmtId="0" fontId="0" fillId="0" borderId="5" xfId="0" applyBorder="1" applyAlignment="1">
      <alignment vertical="center"/>
    </xf>
    <xf numFmtId="0" fontId="0" fillId="0" borderId="17" xfId="0" applyBorder="1" applyAlignment="1">
      <alignment vertical="center"/>
    </xf>
    <xf numFmtId="0" fontId="0" fillId="0" borderId="7" xfId="0" applyBorder="1" applyAlignment="1">
      <alignment horizontal="right" vertical="center"/>
    </xf>
    <xf numFmtId="0" fontId="0" fillId="0" borderId="26"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31" xfId="0" applyBorder="1" applyAlignment="1">
      <alignment horizontal="right" vertical="center"/>
    </xf>
    <xf numFmtId="0" fontId="0" fillId="0" borderId="0" xfId="0" applyAlignment="1">
      <alignment horizontal="left" vertical="center"/>
    </xf>
    <xf numFmtId="0" fontId="37" fillId="0" borderId="6" xfId="0" applyFont="1" applyBorder="1" applyAlignment="1">
      <alignment horizontal="center" vertical="center"/>
    </xf>
    <xf numFmtId="38" fontId="37" fillId="0" borderId="6" xfId="9" applyFont="1" applyBorder="1" applyAlignment="1">
      <alignment horizontal="center" vertical="center"/>
    </xf>
    <xf numFmtId="0" fontId="37" fillId="0" borderId="6" xfId="0" applyFont="1" applyBorder="1" applyAlignment="1">
      <alignment horizontal="center" vertical="center" wrapText="1"/>
    </xf>
    <xf numFmtId="38" fontId="5" fillId="0" borderId="6" xfId="9" applyFont="1" applyFill="1" applyBorder="1" applyAlignment="1">
      <alignment vertical="center"/>
    </xf>
    <xf numFmtId="38" fontId="0" fillId="0" borderId="6" xfId="9" applyFont="1" applyBorder="1" applyAlignment="1">
      <alignment vertical="center"/>
    </xf>
    <xf numFmtId="38" fontId="0" fillId="0" borderId="6" xfId="9" applyFont="1" applyFill="1" applyBorder="1" applyAlignment="1">
      <alignment vertical="center"/>
    </xf>
    <xf numFmtId="177" fontId="0" fillId="0" borderId="6" xfId="5" applyNumberFormat="1" applyFont="1" applyBorder="1" applyAlignment="1">
      <alignment vertical="center"/>
    </xf>
    <xf numFmtId="38" fontId="0" fillId="0" borderId="6" xfId="5" applyFont="1" applyBorder="1" applyAlignment="1">
      <alignment vertical="center"/>
    </xf>
    <xf numFmtId="40" fontId="0" fillId="0" borderId="6" xfId="5" applyNumberFormat="1" applyFont="1" applyBorder="1" applyAlignment="1">
      <alignment vertical="center"/>
    </xf>
    <xf numFmtId="179" fontId="0" fillId="0" borderId="6" xfId="5" applyNumberFormat="1" applyFont="1" applyBorder="1" applyAlignment="1">
      <alignment vertical="center"/>
    </xf>
    <xf numFmtId="0" fontId="0" fillId="0" borderId="0" xfId="0" applyAlignment="1">
      <alignment vertical="center" wrapText="1"/>
    </xf>
    <xf numFmtId="176" fontId="0" fillId="0" borderId="6" xfId="0" applyNumberFormat="1" applyBorder="1" applyAlignment="1">
      <alignment horizontal="right" vertical="center"/>
    </xf>
    <xf numFmtId="0" fontId="0" fillId="0" borderId="6" xfId="0" applyBorder="1" applyAlignment="1">
      <alignment horizontal="right" vertical="center"/>
    </xf>
    <xf numFmtId="176" fontId="0" fillId="0" borderId="9" xfId="0" applyNumberFormat="1" applyBorder="1" applyAlignment="1">
      <alignment horizontal="right" vertical="center"/>
    </xf>
    <xf numFmtId="0" fontId="0" fillId="0" borderId="9" xfId="0" applyBorder="1" applyAlignment="1">
      <alignment horizontal="right" vertical="center"/>
    </xf>
    <xf numFmtId="0" fontId="0" fillId="0" borderId="17" xfId="0" applyBorder="1" applyAlignment="1">
      <alignment horizontal="center" vertical="center" wrapText="1"/>
    </xf>
    <xf numFmtId="0" fontId="0" fillId="0" borderId="53" xfId="0" applyBorder="1" applyAlignment="1">
      <alignment horizontal="center" vertical="center"/>
    </xf>
    <xf numFmtId="0" fontId="0" fillId="0" borderId="14" xfId="0" applyBorder="1" applyAlignment="1">
      <alignment horizontal="right" vertical="center"/>
    </xf>
    <xf numFmtId="176" fontId="0" fillId="0" borderId="14" xfId="0" applyNumberFormat="1" applyBorder="1" applyAlignment="1">
      <alignment horizontal="right" vertical="center"/>
    </xf>
    <xf numFmtId="0" fontId="0" fillId="0" borderId="9" xfId="0" applyBorder="1" applyAlignment="1">
      <alignment horizontal="left" vertical="center"/>
    </xf>
    <xf numFmtId="176" fontId="0" fillId="0" borderId="11" xfId="0" applyNumberFormat="1" applyBorder="1" applyAlignment="1">
      <alignment vertical="center"/>
    </xf>
    <xf numFmtId="176" fontId="0" fillId="0" borderId="39" xfId="0" applyNumberFormat="1" applyBorder="1" applyAlignment="1">
      <alignment horizontal="right" vertical="center"/>
    </xf>
    <xf numFmtId="176" fontId="0" fillId="0" borderId="11" xfId="0" applyNumberFormat="1" applyBorder="1" applyAlignment="1">
      <alignment horizontal="right" vertical="center"/>
    </xf>
    <xf numFmtId="176" fontId="0" fillId="0" borderId="12" xfId="0" applyNumberFormat="1" applyBorder="1" applyAlignment="1">
      <alignment horizontal="right" vertical="center"/>
    </xf>
    <xf numFmtId="176" fontId="0" fillId="0" borderId="2" xfId="0" applyNumberFormat="1" applyBorder="1" applyAlignment="1">
      <alignment horizontal="right" vertical="center"/>
    </xf>
    <xf numFmtId="176" fontId="0" fillId="0" borderId="30" xfId="0" applyNumberFormat="1" applyBorder="1" applyAlignment="1">
      <alignment horizontal="right" vertical="center"/>
    </xf>
    <xf numFmtId="0" fontId="0" fillId="0" borderId="39" xfId="0" applyBorder="1" applyAlignment="1">
      <alignment horizontal="right" vertical="center"/>
    </xf>
    <xf numFmtId="0" fontId="0" fillId="2" borderId="6" xfId="0" applyFill="1" applyBorder="1" applyAlignment="1">
      <alignment horizontal="right" vertical="center"/>
    </xf>
    <xf numFmtId="0" fontId="0" fillId="2" borderId="6" xfId="0" applyFill="1" applyBorder="1" applyAlignment="1">
      <alignment vertical="center"/>
    </xf>
    <xf numFmtId="0" fontId="0" fillId="2" borderId="11" xfId="0" applyFill="1" applyBorder="1" applyAlignment="1">
      <alignment vertical="center"/>
    </xf>
    <xf numFmtId="38" fontId="0" fillId="0" borderId="16" xfId="5" applyFont="1" applyFill="1" applyBorder="1" applyAlignment="1">
      <alignment horizontal="center" vertical="center"/>
    </xf>
    <xf numFmtId="38" fontId="0" fillId="0" borderId="7" xfId="5" applyFont="1" applyBorder="1" applyAlignment="1">
      <alignment horizontal="right" vertical="center"/>
    </xf>
    <xf numFmtId="0" fontId="0" fillId="0" borderId="37" xfId="0" applyBorder="1" applyAlignment="1">
      <alignment vertical="center"/>
    </xf>
    <xf numFmtId="0" fontId="12" fillId="0" borderId="0" xfId="0" applyFont="1" applyAlignment="1">
      <alignment vertical="top"/>
    </xf>
    <xf numFmtId="0" fontId="14" fillId="0" borderId="0" xfId="0" applyFont="1" applyAlignment="1">
      <alignment vertical="top"/>
    </xf>
    <xf numFmtId="0" fontId="0" fillId="0" borderId="45" xfId="0" applyBorder="1" applyAlignment="1">
      <alignment vertical="center"/>
    </xf>
    <xf numFmtId="0" fontId="0" fillId="0" borderId="25" xfId="0" applyBorder="1" applyAlignment="1">
      <alignment horizontal="left" vertical="center"/>
    </xf>
    <xf numFmtId="0" fontId="0" fillId="0" borderId="14" xfId="0" applyBorder="1" applyAlignment="1">
      <alignment horizontal="left" vertical="center" wrapText="1"/>
    </xf>
    <xf numFmtId="181" fontId="0" fillId="0" borderId="6" xfId="0" applyNumberFormat="1" applyBorder="1" applyAlignment="1">
      <alignment vertical="center"/>
    </xf>
    <xf numFmtId="182" fontId="0" fillId="0" borderId="6" xfId="0" applyNumberFormat="1" applyBorder="1" applyAlignment="1">
      <alignment vertical="center"/>
    </xf>
    <xf numFmtId="0" fontId="0" fillId="0" borderId="99" xfId="0" applyBorder="1" applyAlignment="1">
      <alignment vertical="center"/>
    </xf>
    <xf numFmtId="182" fontId="0" fillId="0" borderId="14" xfId="0" applyNumberFormat="1" applyBorder="1" applyAlignment="1">
      <alignment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38" fontId="0" fillId="0" borderId="0" xfId="9" applyFont="1" applyBorder="1" applyAlignment="1">
      <alignment vertical="center"/>
    </xf>
    <xf numFmtId="176" fontId="0" fillId="0" borderId="0" xfId="0" applyNumberFormat="1" applyAlignment="1">
      <alignment horizontal="right" vertical="center"/>
    </xf>
    <xf numFmtId="38" fontId="12" fillId="0" borderId="0" xfId="5" applyFont="1" applyFill="1" applyBorder="1" applyAlignment="1">
      <alignment horizontal="center" vertical="center"/>
    </xf>
    <xf numFmtId="0" fontId="12" fillId="0" borderId="0" xfId="0" applyFont="1" applyAlignment="1">
      <alignment horizontal="left" vertical="center"/>
    </xf>
    <xf numFmtId="38" fontId="0" fillId="0" borderId="0" xfId="9" applyFont="1" applyBorder="1" applyAlignment="1">
      <alignment horizontal="right" vertical="center"/>
    </xf>
    <xf numFmtId="38" fontId="0" fillId="0" borderId="0" xfId="5" applyFont="1" applyFill="1" applyBorder="1" applyAlignment="1">
      <alignment horizontal="right" vertical="center"/>
    </xf>
    <xf numFmtId="0" fontId="0" fillId="0" borderId="51" xfId="0" applyBorder="1" applyAlignment="1">
      <alignment horizontal="center" vertical="center"/>
    </xf>
    <xf numFmtId="0" fontId="14" fillId="0" borderId="32" xfId="0" applyFont="1" applyBorder="1" applyAlignment="1">
      <alignment vertical="center"/>
    </xf>
    <xf numFmtId="0" fontId="0" fillId="0" borderId="16" xfId="0" applyBorder="1" applyAlignment="1">
      <alignment vertical="center"/>
    </xf>
    <xf numFmtId="0" fontId="0" fillId="0" borderId="13" xfId="0" applyBorder="1" applyAlignment="1">
      <alignment vertical="center"/>
    </xf>
    <xf numFmtId="38" fontId="0" fillId="0" borderId="0" xfId="5" applyFont="1" applyAlignment="1">
      <alignment vertical="center"/>
    </xf>
    <xf numFmtId="40" fontId="0" fillId="0" borderId="0" xfId="5" applyNumberFormat="1" applyFont="1" applyAlignment="1">
      <alignment vertical="center"/>
    </xf>
    <xf numFmtId="179" fontId="0" fillId="0" borderId="0" xfId="5" applyNumberFormat="1" applyFont="1" applyAlignment="1">
      <alignment vertical="center"/>
    </xf>
    <xf numFmtId="38" fontId="0" fillId="0" borderId="7" xfId="9" applyFont="1" applyFill="1" applyBorder="1" applyAlignment="1">
      <alignment horizontal="left" vertical="center" wrapText="1"/>
    </xf>
    <xf numFmtId="0" fontId="0" fillId="0" borderId="36" xfId="0" applyBorder="1" applyAlignment="1">
      <alignment vertical="center"/>
    </xf>
    <xf numFmtId="0" fontId="12" fillId="0" borderId="0" xfId="0" applyFont="1" applyAlignment="1">
      <alignment vertical="center"/>
    </xf>
    <xf numFmtId="38" fontId="12" fillId="0" borderId="0" xfId="0" applyNumberFormat="1" applyFont="1" applyAlignment="1">
      <alignment vertical="center"/>
    </xf>
    <xf numFmtId="0" fontId="38" fillId="0" borderId="0" xfId="0" applyFont="1" applyAlignment="1">
      <alignment vertical="center"/>
    </xf>
    <xf numFmtId="0" fontId="38" fillId="0" borderId="7" xfId="0" applyFont="1" applyBorder="1" applyAlignment="1">
      <alignment vertical="center"/>
    </xf>
    <xf numFmtId="0" fontId="38" fillId="0" borderId="7" xfId="0" applyFont="1" applyBorder="1" applyAlignment="1">
      <alignment vertical="center" wrapText="1"/>
    </xf>
    <xf numFmtId="176" fontId="38" fillId="0" borderId="13" xfId="0" applyNumberFormat="1" applyFont="1" applyBorder="1" applyAlignment="1">
      <alignment vertical="center" wrapText="1"/>
    </xf>
    <xf numFmtId="0" fontId="38" fillId="0" borderId="15" xfId="0" applyFont="1" applyBorder="1" applyAlignment="1">
      <alignment horizontal="left" vertical="center"/>
    </xf>
    <xf numFmtId="0" fontId="38" fillId="0" borderId="15" xfId="0" applyFont="1" applyBorder="1" applyAlignment="1">
      <alignment horizontal="left" vertical="center" wrapText="1"/>
    </xf>
    <xf numFmtId="0" fontId="12" fillId="0" borderId="34" xfId="0" quotePrefix="1" applyFont="1" applyBorder="1" applyAlignment="1">
      <alignment horizontal="left" vertical="center" wrapText="1"/>
    </xf>
    <xf numFmtId="38" fontId="0" fillId="0" borderId="6" xfId="5" applyFont="1" applyFill="1" applyBorder="1" applyAlignment="1">
      <alignment horizontal="left" vertical="center"/>
    </xf>
    <xf numFmtId="0" fontId="6" fillId="4" borderId="0" xfId="0" applyFont="1" applyFill="1" applyAlignment="1">
      <alignment vertical="center"/>
    </xf>
    <xf numFmtId="0" fontId="0" fillId="4" borderId="0" xfId="0" applyFill="1" applyAlignment="1">
      <alignment vertical="center"/>
    </xf>
    <xf numFmtId="0" fontId="0" fillId="4" borderId="6" xfId="0" applyFill="1" applyBorder="1" applyAlignment="1">
      <alignment vertical="center" wrapText="1"/>
    </xf>
    <xf numFmtId="0" fontId="0" fillId="4" borderId="6" xfId="0" applyFill="1" applyBorder="1" applyAlignment="1">
      <alignment horizontal="left" vertical="center" wrapText="1"/>
    </xf>
    <xf numFmtId="3" fontId="0" fillId="0" borderId="0" xfId="0" applyNumberFormat="1" applyAlignment="1">
      <alignment vertical="center"/>
    </xf>
    <xf numFmtId="0" fontId="0" fillId="4" borderId="6" xfId="0" applyFill="1" applyBorder="1" applyAlignment="1">
      <alignment vertical="center"/>
    </xf>
    <xf numFmtId="0" fontId="6" fillId="0" borderId="0" xfId="0" applyFont="1" applyAlignment="1">
      <alignment horizontal="left" vertical="center"/>
    </xf>
    <xf numFmtId="38" fontId="0" fillId="0" borderId="0" xfId="5" applyFont="1" applyAlignment="1">
      <alignment horizontal="left" vertical="center"/>
    </xf>
    <xf numFmtId="177" fontId="0" fillId="0" borderId="0" xfId="5" applyNumberFormat="1" applyFont="1" applyAlignment="1">
      <alignment horizontal="left" vertical="center"/>
    </xf>
    <xf numFmtId="40" fontId="0" fillId="0" borderId="0" xfId="5" applyNumberFormat="1" applyFont="1" applyAlignment="1">
      <alignment horizontal="left" vertical="center"/>
    </xf>
    <xf numFmtId="179" fontId="0" fillId="0" borderId="0" xfId="5" applyNumberFormat="1" applyFont="1" applyAlignment="1">
      <alignment horizontal="left" vertical="center"/>
    </xf>
    <xf numFmtId="176" fontId="0" fillId="0" borderId="6" xfId="0" applyNumberFormat="1" applyBorder="1" applyAlignment="1">
      <alignment vertical="center" wrapText="1"/>
    </xf>
    <xf numFmtId="178" fontId="0" fillId="0" borderId="6" xfId="7" applyNumberFormat="1" applyFont="1" applyBorder="1" applyAlignment="1">
      <alignment horizontal="left" vertical="center"/>
    </xf>
    <xf numFmtId="0" fontId="0" fillId="0" borderId="0" xfId="7" applyNumberFormat="1" applyFont="1" applyAlignment="1">
      <alignment vertical="center"/>
    </xf>
    <xf numFmtId="176" fontId="0" fillId="0" borderId="9" xfId="0" applyNumberFormat="1" applyBorder="1" applyAlignment="1">
      <alignment vertical="center" wrapText="1"/>
    </xf>
    <xf numFmtId="178" fontId="0" fillId="0" borderId="6" xfId="7" applyNumberFormat="1" applyFont="1" applyBorder="1" applyAlignment="1">
      <alignment horizontal="left" vertical="center" wrapText="1"/>
    </xf>
    <xf numFmtId="9" fontId="0" fillId="0" borderId="6" xfId="0" applyNumberFormat="1" applyBorder="1" applyAlignment="1">
      <alignment vertical="center"/>
    </xf>
    <xf numFmtId="0" fontId="0" fillId="4" borderId="6" xfId="0" applyFill="1" applyBorder="1" applyAlignment="1">
      <alignment horizontal="center" vertical="center"/>
    </xf>
    <xf numFmtId="0" fontId="0" fillId="0" borderId="6" xfId="0" applyBorder="1" applyAlignment="1">
      <alignment horizontal="left" vertical="center" shrinkToFit="1"/>
    </xf>
    <xf numFmtId="0" fontId="0" fillId="4" borderId="22" xfId="0" applyFill="1" applyBorder="1" applyAlignment="1">
      <alignment horizontal="left" vertical="center" wrapText="1"/>
    </xf>
    <xf numFmtId="38" fontId="0" fillId="0" borderId="0" xfId="0" applyNumberFormat="1" applyAlignment="1">
      <alignment vertical="top"/>
    </xf>
    <xf numFmtId="0" fontId="0" fillId="0" borderId="17" xfId="0" applyBorder="1" applyAlignment="1">
      <alignment horizontal="right" vertical="center"/>
    </xf>
    <xf numFmtId="0" fontId="0" fillId="0" borderId="22" xfId="0" applyBorder="1" applyAlignment="1">
      <alignment horizontal="right" vertical="center"/>
    </xf>
    <xf numFmtId="0" fontId="0" fillId="0" borderId="5" xfId="0" applyBorder="1" applyAlignment="1">
      <alignment horizontal="right" vertical="center"/>
    </xf>
    <xf numFmtId="0" fontId="0" fillId="0" borderId="17" xfId="0" applyBorder="1" applyAlignment="1">
      <alignment horizontal="right" vertical="center" wrapText="1"/>
    </xf>
    <xf numFmtId="0" fontId="0" fillId="0" borderId="22" xfId="0" applyBorder="1" applyAlignment="1">
      <alignment horizontal="right" vertical="center" wrapText="1"/>
    </xf>
    <xf numFmtId="0" fontId="0" fillId="0" borderId="5" xfId="0" applyBorder="1" applyAlignment="1">
      <alignment horizontal="right" vertical="center" wrapText="1"/>
    </xf>
    <xf numFmtId="0" fontId="0" fillId="0" borderId="32" xfId="0" applyBorder="1" applyAlignment="1">
      <alignment horizontal="right" vertical="center" wrapText="1"/>
    </xf>
    <xf numFmtId="0" fontId="0" fillId="0" borderId="28" xfId="0" applyBorder="1" applyAlignment="1">
      <alignment horizontal="right" vertical="center" wrapText="1"/>
    </xf>
    <xf numFmtId="0" fontId="0" fillId="0" borderId="29" xfId="0" applyBorder="1" applyAlignment="1">
      <alignment horizontal="right" vertical="center" wrapText="1"/>
    </xf>
    <xf numFmtId="0" fontId="0" fillId="0" borderId="17" xfId="0" applyBorder="1" applyAlignment="1">
      <alignment horizontal="left" vertical="center" wrapText="1"/>
    </xf>
    <xf numFmtId="0" fontId="0" fillId="0" borderId="22"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53" xfId="0" applyBorder="1" applyAlignment="1">
      <alignment horizontal="left" vertical="center"/>
    </xf>
    <xf numFmtId="0" fontId="0" fillId="0" borderId="33" xfId="0" applyBorder="1" applyAlignment="1">
      <alignment horizontal="left" vertical="center"/>
    </xf>
    <xf numFmtId="0" fontId="0" fillId="0" borderId="32" xfId="0" applyBorder="1" applyAlignment="1">
      <alignment horizontal="left" vertical="center"/>
    </xf>
    <xf numFmtId="0" fontId="18" fillId="0" borderId="0" xfId="10" applyFont="1" applyAlignment="1">
      <alignment horizontal="justify" vertical="center" wrapText="1"/>
    </xf>
    <xf numFmtId="0" fontId="1" fillId="0" borderId="0" xfId="10">
      <alignment vertical="center"/>
    </xf>
    <xf numFmtId="0" fontId="19" fillId="0" borderId="95" xfId="10" applyFont="1" applyBorder="1" applyAlignment="1">
      <alignment horizontal="justify" vertical="top" wrapText="1"/>
    </xf>
    <xf numFmtId="0" fontId="19" fillId="0" borderId="96" xfId="10" applyFont="1" applyBorder="1" applyAlignment="1">
      <alignment horizontal="justify" vertical="top" wrapText="1"/>
    </xf>
    <xf numFmtId="0" fontId="19" fillId="0" borderId="97" xfId="10" applyFont="1" applyBorder="1" applyAlignment="1">
      <alignment horizontal="justify" vertical="top" wrapText="1"/>
    </xf>
    <xf numFmtId="0" fontId="19" fillId="0" borderId="54" xfId="10" applyFont="1" applyBorder="1" applyAlignment="1">
      <alignment horizontal="justify" vertical="top" wrapText="1"/>
    </xf>
    <xf numFmtId="0" fontId="19" fillId="0" borderId="75" xfId="10" applyFont="1" applyBorder="1" applyAlignment="1">
      <alignment horizontal="justify" vertical="top" wrapText="1"/>
    </xf>
    <xf numFmtId="0" fontId="19" fillId="0" borderId="55" xfId="10" applyFont="1" applyBorder="1" applyAlignment="1">
      <alignment horizontal="justify" vertical="top" wrapText="1"/>
    </xf>
    <xf numFmtId="0" fontId="27" fillId="0" borderId="87" xfId="10" applyFont="1" applyBorder="1" applyAlignment="1">
      <alignment vertical="center" wrapText="1"/>
    </xf>
    <xf numFmtId="0" fontId="19" fillId="0" borderId="0" xfId="10" applyFont="1" applyAlignment="1">
      <alignment horizontal="justify" vertical="center" wrapText="1"/>
    </xf>
    <xf numFmtId="0" fontId="19" fillId="0" borderId="54" xfId="10" applyFont="1" applyBorder="1" applyAlignment="1">
      <alignment horizontal="left" vertical="top" wrapText="1"/>
    </xf>
    <xf numFmtId="0" fontId="19" fillId="0" borderId="55" xfId="10" applyFont="1" applyBorder="1" applyAlignment="1">
      <alignment horizontal="left" vertical="top" wrapText="1"/>
    </xf>
    <xf numFmtId="0" fontId="25" fillId="0" borderId="0" xfId="10" applyFont="1" applyAlignment="1">
      <alignment horizontal="justify" vertical="center" wrapText="1"/>
    </xf>
    <xf numFmtId="0" fontId="19" fillId="0" borderId="75" xfId="10" applyFont="1" applyBorder="1" applyAlignment="1">
      <alignment horizontal="left" vertical="top" wrapText="1"/>
    </xf>
    <xf numFmtId="0" fontId="18" fillId="0" borderId="54" xfId="10" applyFont="1" applyBorder="1" applyAlignment="1">
      <alignment horizontal="justify" vertical="top" wrapText="1"/>
    </xf>
    <xf numFmtId="0" fontId="18" fillId="0" borderId="75" xfId="10" applyFont="1" applyBorder="1" applyAlignment="1">
      <alignment horizontal="justify" vertical="top" wrapText="1"/>
    </xf>
    <xf numFmtId="0" fontId="18" fillId="0" borderId="55" xfId="10" applyFont="1" applyBorder="1" applyAlignment="1">
      <alignment horizontal="justify" vertical="top" wrapText="1"/>
    </xf>
    <xf numFmtId="0" fontId="19" fillId="0" borderId="94" xfId="10" applyFont="1" applyBorder="1" applyAlignment="1">
      <alignment horizontal="justify" vertical="top" wrapText="1"/>
    </xf>
    <xf numFmtId="0" fontId="21" fillId="0" borderId="0" xfId="10" applyFont="1" applyAlignment="1">
      <alignment horizontal="justify" vertical="center" wrapText="1"/>
    </xf>
    <xf numFmtId="0" fontId="18" fillId="0" borderId="54" xfId="10" applyFont="1" applyBorder="1" applyAlignment="1">
      <alignment horizontal="justify" vertical="center" wrapText="1"/>
    </xf>
    <xf numFmtId="0" fontId="18" fillId="0" borderId="75" xfId="10" applyFont="1" applyBorder="1" applyAlignment="1">
      <alignment horizontal="justify" vertical="center" wrapText="1"/>
    </xf>
    <xf numFmtId="0" fontId="18" fillId="0" borderId="55" xfId="10" applyFont="1" applyBorder="1" applyAlignment="1">
      <alignment horizontal="justify" vertical="center" wrapText="1"/>
    </xf>
    <xf numFmtId="0" fontId="29" fillId="0" borderId="54" xfId="10" applyFont="1" applyBorder="1" applyAlignment="1">
      <alignment horizontal="justify" vertical="center" wrapText="1"/>
    </xf>
    <xf numFmtId="0" fontId="29" fillId="0" borderId="55" xfId="10" applyFont="1" applyBorder="1" applyAlignment="1">
      <alignment horizontal="justify" vertical="center" wrapText="1"/>
    </xf>
    <xf numFmtId="0" fontId="28" fillId="0" borderId="87" xfId="10" applyFont="1" applyBorder="1" applyAlignment="1">
      <alignment horizontal="justify" vertical="center" wrapText="1"/>
    </xf>
    <xf numFmtId="0" fontId="19" fillId="0" borderId="57" xfId="10" applyFont="1" applyBorder="1" applyAlignment="1">
      <alignment horizontal="center" vertical="top" wrapText="1"/>
    </xf>
    <xf numFmtId="0" fontId="19" fillId="0" borderId="88" xfId="10" applyFont="1" applyBorder="1" applyAlignment="1">
      <alignment horizontal="center" vertical="top" wrapText="1"/>
    </xf>
    <xf numFmtId="0" fontId="19" fillId="0" borderId="63" xfId="10" applyFont="1" applyBorder="1" applyAlignment="1">
      <alignment horizontal="center" vertical="top" wrapText="1"/>
    </xf>
    <xf numFmtId="38" fontId="19" fillId="0" borderId="87" xfId="9" applyFont="1" applyBorder="1" applyAlignment="1">
      <alignment horizontal="justify" vertical="top" wrapText="1"/>
    </xf>
    <xf numFmtId="0" fontId="18" fillId="0" borderId="90" xfId="10" applyFont="1" applyBorder="1" applyAlignment="1">
      <alignment horizontal="center" vertical="top" wrapText="1"/>
    </xf>
    <xf numFmtId="0" fontId="18" fillId="0" borderId="91" xfId="10" applyFont="1" applyBorder="1" applyAlignment="1">
      <alignment horizontal="center" vertical="top" wrapText="1"/>
    </xf>
    <xf numFmtId="0" fontId="18" fillId="0" borderId="56" xfId="10" applyFont="1" applyBorder="1" applyAlignment="1">
      <alignment horizontal="center" vertical="top" wrapText="1"/>
    </xf>
    <xf numFmtId="0" fontId="18" fillId="0" borderId="54" xfId="10" applyFont="1" applyBorder="1" applyAlignment="1">
      <alignment horizontal="right" vertical="center" wrapText="1"/>
    </xf>
    <xf numFmtId="0" fontId="18" fillId="0" borderId="55" xfId="10" applyFont="1" applyBorder="1" applyAlignment="1">
      <alignment horizontal="right" vertical="center" wrapText="1"/>
    </xf>
    <xf numFmtId="0" fontId="18" fillId="0" borderId="60" xfId="10" applyFont="1" applyBorder="1" applyAlignment="1">
      <alignment horizontal="justify" vertical="top" wrapText="1"/>
    </xf>
    <xf numFmtId="0" fontId="18" fillId="0" borderId="62" xfId="10" applyFont="1" applyBorder="1" applyAlignment="1">
      <alignment horizontal="justify" vertical="top" wrapText="1"/>
    </xf>
    <xf numFmtId="0" fontId="18" fillId="0" borderId="57" xfId="10" applyFont="1" applyBorder="1" applyAlignment="1">
      <alignment horizontal="justify" vertical="top" wrapText="1"/>
    </xf>
    <xf numFmtId="0" fontId="18" fillId="0" borderId="58" xfId="10" applyFont="1" applyBorder="1" applyAlignment="1">
      <alignment horizontal="justify" vertical="top" wrapText="1"/>
    </xf>
    <xf numFmtId="0" fontId="19" fillId="0" borderId="83" xfId="10" applyFont="1" applyBorder="1" applyAlignment="1">
      <alignment horizontal="justify" vertical="top" wrapText="1"/>
    </xf>
    <xf numFmtId="0" fontId="18" fillId="0" borderId="85" xfId="10" applyFont="1" applyBorder="1" applyAlignment="1">
      <alignment horizontal="center" vertical="top" wrapText="1"/>
    </xf>
    <xf numFmtId="0" fontId="18" fillId="0" borderId="86" xfId="10" applyFont="1" applyBorder="1" applyAlignment="1">
      <alignment horizontal="center" vertical="top" wrapText="1"/>
    </xf>
    <xf numFmtId="0" fontId="26" fillId="0" borderId="0" xfId="10" applyFont="1" applyAlignment="1">
      <alignment horizontal="justify" vertical="center" wrapText="1"/>
    </xf>
    <xf numFmtId="0" fontId="18" fillId="0" borderId="70" xfId="10" applyFont="1" applyBorder="1" applyAlignment="1">
      <alignment horizontal="justify" vertical="top" wrapText="1"/>
    </xf>
    <xf numFmtId="0" fontId="18" fillId="0" borderId="71" xfId="10" applyFont="1" applyBorder="1" applyAlignment="1">
      <alignment horizontal="justify" vertical="top" wrapText="1"/>
    </xf>
    <xf numFmtId="0" fontId="19" fillId="0" borderId="73" xfId="10" applyFont="1" applyBorder="1" applyAlignment="1">
      <alignment horizontal="justify" vertical="top" wrapText="1"/>
    </xf>
    <xf numFmtId="0" fontId="19" fillId="0" borderId="76" xfId="10" applyFont="1" applyBorder="1" applyAlignment="1">
      <alignment horizontal="justify" vertical="top" wrapText="1"/>
    </xf>
    <xf numFmtId="0" fontId="19" fillId="0" borderId="78" xfId="10" applyFont="1" applyBorder="1" applyAlignment="1">
      <alignment horizontal="justify" vertical="top" wrapText="1"/>
    </xf>
    <xf numFmtId="0" fontId="19" fillId="0" borderId="74" xfId="10" applyFont="1" applyBorder="1" applyAlignment="1">
      <alignment horizontal="justify" vertical="top" wrapText="1"/>
    </xf>
    <xf numFmtId="0" fontId="19" fillId="0" borderId="77" xfId="10" applyFont="1" applyBorder="1" applyAlignment="1">
      <alignment horizontal="justify" vertical="top" wrapText="1"/>
    </xf>
    <xf numFmtId="0" fontId="19" fillId="0" borderId="84" xfId="10" applyFont="1" applyBorder="1" applyAlignment="1">
      <alignment horizontal="justify" vertical="top" wrapText="1"/>
    </xf>
    <xf numFmtId="0" fontId="24" fillId="0" borderId="79" xfId="10" applyFont="1" applyBorder="1" applyAlignment="1">
      <alignment horizontal="justify" vertical="top" wrapText="1"/>
    </xf>
    <xf numFmtId="0" fontId="24" fillId="0" borderId="76" xfId="10" applyFont="1" applyBorder="1" applyAlignment="1">
      <alignment horizontal="justify" vertical="top" wrapText="1"/>
    </xf>
    <xf numFmtId="0" fontId="24" fillId="0" borderId="78" xfId="10" applyFont="1" applyBorder="1" applyAlignment="1">
      <alignment horizontal="justify" vertical="top" wrapText="1"/>
    </xf>
    <xf numFmtId="0" fontId="19" fillId="0" borderId="58" xfId="10" applyFont="1" applyBorder="1" applyAlignment="1">
      <alignment horizontal="center" vertical="top" wrapText="1"/>
    </xf>
    <xf numFmtId="0" fontId="18" fillId="0" borderId="59" xfId="10" applyFont="1" applyBorder="1" applyAlignment="1">
      <alignment horizontal="justify" vertical="top" wrapText="1"/>
    </xf>
    <xf numFmtId="0" fontId="18" fillId="0" borderId="66" xfId="10" applyFont="1" applyBorder="1" applyAlignment="1">
      <alignment horizontal="justify" vertical="top" wrapText="1"/>
    </xf>
    <xf numFmtId="0" fontId="19" fillId="0" borderId="60" xfId="10" applyFont="1" applyBorder="1" applyAlignment="1">
      <alignment horizontal="justify" vertical="top" wrapText="1"/>
    </xf>
    <xf numFmtId="0" fontId="19" fillId="0" borderId="61" xfId="10" applyFont="1" applyBorder="1" applyAlignment="1">
      <alignment horizontal="justify" vertical="top" wrapText="1"/>
    </xf>
    <xf numFmtId="0" fontId="19" fillId="0" borderId="62" xfId="10" applyFont="1" applyBorder="1" applyAlignment="1">
      <alignment horizontal="justify" vertical="top" wrapText="1"/>
    </xf>
    <xf numFmtId="0" fontId="23" fillId="0" borderId="64" xfId="10" applyFont="1" applyBorder="1" applyAlignment="1">
      <alignment horizontal="center" vertical="top" wrapText="1"/>
    </xf>
    <xf numFmtId="0" fontId="23" fillId="0" borderId="65" xfId="10" applyFont="1" applyBorder="1" applyAlignment="1">
      <alignment horizontal="center" vertical="top" wrapText="1"/>
    </xf>
    <xf numFmtId="0" fontId="20" fillId="0" borderId="0" xfId="10" applyFont="1" applyAlignment="1">
      <alignment horizontal="center" vertical="center" wrapText="1"/>
    </xf>
    <xf numFmtId="0" fontId="18" fillId="0" borderId="54" xfId="10" applyFont="1" applyBorder="1" applyAlignment="1">
      <alignment horizontal="center" vertical="top" wrapText="1"/>
    </xf>
    <xf numFmtId="0" fontId="18" fillId="0" borderId="55" xfId="10" applyFont="1" applyBorder="1" applyAlignment="1">
      <alignment horizontal="center" vertical="top" wrapText="1"/>
    </xf>
    <xf numFmtId="38" fontId="0" fillId="0" borderId="17" xfId="5" applyFont="1" applyBorder="1" applyAlignment="1">
      <alignment horizontal="center" vertical="center"/>
    </xf>
    <xf numFmtId="38" fontId="0" fillId="0" borderId="5" xfId="5" applyFont="1" applyBorder="1" applyAlignment="1">
      <alignment horizontal="center" vertical="center"/>
    </xf>
    <xf numFmtId="0" fontId="0" fillId="0" borderId="32"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10" xfId="0" applyBorder="1" applyAlignment="1">
      <alignment horizontal="left" vertical="center"/>
    </xf>
    <xf numFmtId="0" fontId="0" fillId="0" borderId="35" xfId="0" applyBorder="1" applyAlignment="1">
      <alignment horizontal="left"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left" vertical="center" wrapText="1"/>
    </xf>
    <xf numFmtId="0" fontId="0" fillId="0" borderId="34" xfId="0"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left" vertical="center" wrapText="1"/>
    </xf>
    <xf numFmtId="0" fontId="0" fillId="0" borderId="37"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49" xfId="0" applyBorder="1" applyAlignment="1">
      <alignment horizontal="center" vertical="center"/>
    </xf>
    <xf numFmtId="38" fontId="0" fillId="0" borderId="17" xfId="5" applyFont="1" applyFill="1" applyBorder="1" applyAlignment="1">
      <alignment horizontal="center"/>
    </xf>
    <xf numFmtId="38" fontId="0" fillId="0" borderId="5" xfId="5" applyFont="1" applyFill="1" applyBorder="1" applyAlignment="1">
      <alignment horizontal="center"/>
    </xf>
    <xf numFmtId="0" fontId="0" fillId="0" borderId="7" xfId="0" applyBorder="1" applyAlignment="1">
      <alignment horizontal="left" vertical="center" wrapText="1"/>
    </xf>
    <xf numFmtId="0" fontId="0" fillId="0" borderId="7" xfId="0" applyBorder="1" applyAlignment="1">
      <alignment horizontal="left"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1" xfId="0" applyBorder="1" applyAlignment="1">
      <alignment horizontal="center" vertical="center"/>
    </xf>
    <xf numFmtId="0" fontId="0" fillId="0" borderId="36" xfId="0" applyBorder="1" applyAlignment="1">
      <alignment horizontal="center" vertical="center"/>
    </xf>
    <xf numFmtId="0" fontId="0" fillId="0" borderId="39" xfId="0" applyBorder="1" applyAlignment="1">
      <alignment horizontal="center" vertical="center"/>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xf>
    <xf numFmtId="0" fontId="0" fillId="0" borderId="44" xfId="0" applyBorder="1" applyAlignment="1">
      <alignment horizontal="lef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vertical="center"/>
    </xf>
    <xf numFmtId="0" fontId="0" fillId="0" borderId="0" xfId="0" applyAlignment="1">
      <alignment horizontal="center" vertical="center"/>
    </xf>
    <xf numFmtId="0" fontId="0" fillId="0" borderId="43" xfId="0" applyBorder="1" applyAlignment="1">
      <alignment horizontal="center" vertical="center"/>
    </xf>
    <xf numFmtId="0" fontId="0" fillId="0" borderId="38" xfId="0" applyBorder="1" applyAlignment="1">
      <alignment horizontal="center" vertical="center"/>
    </xf>
    <xf numFmtId="0" fontId="0" fillId="0" borderId="26" xfId="0" applyBorder="1" applyAlignment="1">
      <alignment horizontal="center" vertical="center"/>
    </xf>
    <xf numFmtId="0" fontId="0" fillId="0" borderId="39" xfId="0" applyBorder="1" applyAlignment="1">
      <alignment horizontal="center" vertical="center" wrapText="1"/>
    </xf>
    <xf numFmtId="0" fontId="0" fillId="0" borderId="30" xfId="0" applyBorder="1" applyAlignment="1">
      <alignment horizontal="center" vertical="center" wrapText="1"/>
    </xf>
    <xf numFmtId="0" fontId="0" fillId="0" borderId="3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8" xfId="0" applyBorder="1" applyAlignment="1">
      <alignment horizontal="center" vertical="center" wrapText="1"/>
    </xf>
    <xf numFmtId="0" fontId="0" fillId="0" borderId="26" xfId="0" applyBorder="1" applyAlignment="1">
      <alignment horizontal="center" vertical="center" wrapText="1"/>
    </xf>
    <xf numFmtId="0" fontId="0" fillId="0" borderId="98" xfId="0" applyBorder="1" applyAlignment="1">
      <alignment horizontal="left" vertical="top" wrapText="1"/>
    </xf>
    <xf numFmtId="38" fontId="5" fillId="0" borderId="17" xfId="5" applyFont="1" applyBorder="1" applyAlignment="1">
      <alignment horizontal="center"/>
    </xf>
    <xf numFmtId="38" fontId="5" fillId="0" borderId="5" xfId="5" applyFont="1" applyBorder="1" applyAlignment="1">
      <alignment horizontal="center"/>
    </xf>
    <xf numFmtId="38" fontId="16" fillId="0" borderId="17" xfId="5" applyFont="1" applyFill="1" applyBorder="1" applyAlignment="1">
      <alignment horizontal="center" vertical="center"/>
    </xf>
    <xf numFmtId="38" fontId="16" fillId="0" borderId="5" xfId="5"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0" fillId="0" borderId="10" xfId="0" applyBorder="1" applyAlignment="1">
      <alignment horizontal="center" vertical="center" wrapText="1"/>
    </xf>
    <xf numFmtId="38" fontId="0" fillId="0" borderId="17" xfId="5" applyFont="1" applyBorder="1" applyAlignment="1">
      <alignment horizontal="center"/>
    </xf>
    <xf numFmtId="38" fontId="0" fillId="0" borderId="5" xfId="5" applyFont="1" applyBorder="1" applyAlignment="1">
      <alignment horizontal="center"/>
    </xf>
    <xf numFmtId="0" fontId="0" fillId="0" borderId="4" xfId="0" applyBorder="1" applyAlignment="1">
      <alignment horizontal="left" vertical="center"/>
    </xf>
    <xf numFmtId="0" fontId="0" fillId="0" borderId="22" xfId="0" applyBorder="1" applyAlignment="1">
      <alignment horizontal="left" vertical="center"/>
    </xf>
    <xf numFmtId="0" fontId="0" fillId="0" borderId="8" xfId="0" applyBorder="1" applyAlignment="1">
      <alignment horizontal="left" vertical="center"/>
    </xf>
    <xf numFmtId="0" fontId="0" fillId="0" borderId="49" xfId="0" applyBorder="1" applyAlignment="1">
      <alignment horizontal="left" vertical="center"/>
    </xf>
    <xf numFmtId="0" fontId="0" fillId="0" borderId="6"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12" fillId="0" borderId="17" xfId="0" applyFont="1" applyBorder="1" applyAlignment="1">
      <alignment horizontal="left" vertical="center"/>
    </xf>
    <xf numFmtId="0" fontId="12" fillId="0" borderId="34" xfId="0" applyFont="1" applyBorder="1" applyAlignment="1">
      <alignment horizontal="left" vertical="center"/>
    </xf>
    <xf numFmtId="0" fontId="14" fillId="0" borderId="17" xfId="0" applyFont="1" applyBorder="1" applyAlignment="1">
      <alignment horizontal="left"/>
    </xf>
    <xf numFmtId="0" fontId="14" fillId="0" borderId="34" xfId="0" applyFont="1" applyBorder="1" applyAlignment="1">
      <alignment horizontal="left"/>
    </xf>
    <xf numFmtId="176" fontId="0" fillId="0" borderId="17" xfId="0" applyNumberFormat="1" applyBorder="1" applyAlignment="1">
      <alignment horizontal="left"/>
    </xf>
    <xf numFmtId="176" fontId="0" fillId="0" borderId="34" xfId="0" applyNumberFormat="1" applyBorder="1" applyAlignment="1">
      <alignment horizontal="left"/>
    </xf>
    <xf numFmtId="38" fontId="0" fillId="0" borderId="26" xfId="0" applyNumberFormat="1" applyBorder="1" applyAlignment="1">
      <alignment horizontal="center" vertical="center"/>
    </xf>
    <xf numFmtId="38" fontId="0" fillId="0" borderId="30" xfId="0" applyNumberFormat="1" applyBorder="1" applyAlignment="1">
      <alignment horizontal="center" vertical="center"/>
    </xf>
    <xf numFmtId="38" fontId="0" fillId="0" borderId="17" xfId="5" applyFont="1" applyFill="1" applyBorder="1" applyAlignment="1">
      <alignment horizontal="center" vertical="center"/>
    </xf>
    <xf numFmtId="38" fontId="0" fillId="0" borderId="5" xfId="5" applyFont="1" applyFill="1" applyBorder="1" applyAlignment="1">
      <alignment horizontal="center" vertical="center"/>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38" fontId="0" fillId="0" borderId="6" xfId="0" applyNumberFormat="1" applyBorder="1" applyAlignment="1">
      <alignment horizontal="center" vertical="center"/>
    </xf>
    <xf numFmtId="0" fontId="0" fillId="0" borderId="49" xfId="0" applyBorder="1" applyAlignment="1">
      <alignment horizontal="center" vertical="center" wrapText="1"/>
    </xf>
  </cellXfs>
  <cellStyles count="12">
    <cellStyle name="パーセント" xfId="7" builtinId="5"/>
    <cellStyle name="桁区切り" xfId="9" builtinId="6"/>
    <cellStyle name="桁区切り 2" xfId="1" xr:uid="{00000000-0005-0000-0000-000002000000}"/>
    <cellStyle name="桁区切り 3" xfId="2" xr:uid="{00000000-0005-0000-0000-000003000000}"/>
    <cellStyle name="桁区切り 4" xfId="5" xr:uid="{00000000-0005-0000-0000-000004000000}"/>
    <cellStyle name="桁区切り 5" xfId="6" xr:uid="{00000000-0005-0000-0000-000005000000}"/>
    <cellStyle name="桁区切り 6" xfId="8" xr:uid="{00000000-0005-0000-0000-000006000000}"/>
    <cellStyle name="標準" xfId="0" builtinId="0"/>
    <cellStyle name="標準 2" xfId="3" xr:uid="{00000000-0005-0000-0000-000008000000}"/>
    <cellStyle name="標準 3" xfId="4" xr:uid="{00000000-0005-0000-0000-000009000000}"/>
    <cellStyle name="標準 4" xfId="10" xr:uid="{680DEF75-10D4-4C5A-925D-F2C43D7B270F}"/>
    <cellStyle name="標準 5" xfId="11" xr:uid="{F3365F69-708B-46F6-9084-687EE5204A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1219200</xdr:colOff>
      <xdr:row>29</xdr:row>
      <xdr:rowOff>0</xdr:rowOff>
    </xdr:from>
    <xdr:to>
      <xdr:col>3</xdr:col>
      <xdr:colOff>1295400</xdr:colOff>
      <xdr:row>29</xdr:row>
      <xdr:rowOff>84455</xdr:rowOff>
    </xdr:to>
    <xdr:sp macro="" textlink="">
      <xdr:nvSpPr>
        <xdr:cNvPr id="2" name="Text Box 1">
          <a:extLst>
            <a:ext uri="{FF2B5EF4-FFF2-40B4-BE49-F238E27FC236}">
              <a16:creationId xmlns:a16="http://schemas.microsoft.com/office/drawing/2014/main" id="{4F99864F-AE29-41A1-A689-9BB6893EB7D0}"/>
            </a:ext>
          </a:extLst>
        </xdr:cNvPr>
        <xdr:cNvSpPr txBox="1">
          <a:spLocks noChangeArrowheads="1"/>
        </xdr:cNvSpPr>
      </xdr:nvSpPr>
      <xdr:spPr bwMode="auto">
        <a:xfrm>
          <a:off x="3721100" y="7696200"/>
          <a:ext cx="76200" cy="876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1219200</xdr:colOff>
      <xdr:row>29</xdr:row>
      <xdr:rowOff>0</xdr:rowOff>
    </xdr:from>
    <xdr:to>
      <xdr:col>7</xdr:col>
      <xdr:colOff>73025</xdr:colOff>
      <xdr:row>29</xdr:row>
      <xdr:rowOff>84455</xdr:rowOff>
    </xdr:to>
    <xdr:sp macro="" textlink="">
      <xdr:nvSpPr>
        <xdr:cNvPr id="3" name="Text Box 1">
          <a:extLst>
            <a:ext uri="{FF2B5EF4-FFF2-40B4-BE49-F238E27FC236}">
              <a16:creationId xmlns:a16="http://schemas.microsoft.com/office/drawing/2014/main" id="{72B1690C-B7E8-457D-AC70-46B48DBBC3F3}"/>
            </a:ext>
          </a:extLst>
        </xdr:cNvPr>
        <xdr:cNvSpPr txBox="1">
          <a:spLocks noChangeArrowheads="1"/>
        </xdr:cNvSpPr>
      </xdr:nvSpPr>
      <xdr:spPr bwMode="auto">
        <a:xfrm>
          <a:off x="3721100" y="7696200"/>
          <a:ext cx="257175" cy="876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103716</xdr:colOff>
      <xdr:row>8</xdr:row>
      <xdr:rowOff>91017</xdr:rowOff>
    </xdr:from>
    <xdr:to>
      <xdr:col>21</xdr:col>
      <xdr:colOff>338667</xdr:colOff>
      <xdr:row>14</xdr:row>
      <xdr:rowOff>154517</xdr:rowOff>
    </xdr:to>
    <xdr:sp macro="" textlink="">
      <xdr:nvSpPr>
        <xdr:cNvPr id="4" name="テキスト ボックス 3">
          <a:extLst>
            <a:ext uri="{FF2B5EF4-FFF2-40B4-BE49-F238E27FC236}">
              <a16:creationId xmlns:a16="http://schemas.microsoft.com/office/drawing/2014/main" id="{4AD0F3DE-2A97-4773-BCAA-5052D6D0077F}"/>
            </a:ext>
          </a:extLst>
        </xdr:cNvPr>
        <xdr:cNvSpPr txBox="1"/>
      </xdr:nvSpPr>
      <xdr:spPr>
        <a:xfrm>
          <a:off x="17299516" y="5450417"/>
          <a:ext cx="3041651" cy="1587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・材料費＝直接経費</a:t>
          </a:r>
          <a:r>
            <a:rPr kumimoji="1" lang="en-US" altLang="ja-JP" sz="1600" b="1"/>
            <a:t>×</a:t>
          </a:r>
          <a:r>
            <a:rPr kumimoji="1" lang="ja-JP" altLang="en-US" sz="1600" b="1"/>
            <a:t>５％</a:t>
          </a:r>
          <a:br>
            <a:rPr kumimoji="1" lang="ja-JP" altLang="en-US" sz="1600" b="1"/>
          </a:br>
          <a:r>
            <a:rPr kumimoji="1" lang="ja-JP" altLang="en-US" sz="1600" b="1"/>
            <a:t>・直接人件費の５％以内</a:t>
          </a:r>
          <a:br>
            <a:rPr kumimoji="1" lang="ja-JP" altLang="en-US" sz="1600" b="1"/>
          </a:br>
          <a:r>
            <a:rPr kumimoji="1" lang="ja-JP" altLang="en-US" sz="1600" b="1"/>
            <a:t>・パソコン使用料、</a:t>
          </a:r>
          <a:r>
            <a:rPr kumimoji="1" lang="en-US" altLang="ja-JP" sz="1600" b="1"/>
            <a:t>GIS</a:t>
          </a:r>
          <a:r>
            <a:rPr kumimoji="1" lang="ja-JP" altLang="en-US" sz="1600" b="1"/>
            <a:t>使用料、無線使用料、麻酔銃使用料等</a:t>
          </a:r>
          <a:br>
            <a:rPr kumimoji="1" lang="ja-JP" altLang="en-US" sz="1600" b="1"/>
          </a:br>
          <a:endParaRPr kumimoji="1" lang="ja-JP" altLang="en-US" sz="1600" b="1"/>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718633</xdr:colOff>
      <xdr:row>0</xdr:row>
      <xdr:rowOff>79375</xdr:rowOff>
    </xdr:from>
    <xdr:to>
      <xdr:col>15</xdr:col>
      <xdr:colOff>139075</xdr:colOff>
      <xdr:row>7</xdr:row>
      <xdr:rowOff>270752</xdr:rowOff>
    </xdr:to>
    <xdr:pic>
      <xdr:nvPicPr>
        <xdr:cNvPr id="3" name="図 2">
          <a:extLst>
            <a:ext uri="{FF2B5EF4-FFF2-40B4-BE49-F238E27FC236}">
              <a16:creationId xmlns:a16="http://schemas.microsoft.com/office/drawing/2014/main" id="{988BABE2-7BF4-49D9-9437-1CBC3482C5AB}"/>
            </a:ext>
          </a:extLst>
        </xdr:cNvPr>
        <xdr:cNvPicPr>
          <a:picLocks noChangeAspect="1"/>
        </xdr:cNvPicPr>
      </xdr:nvPicPr>
      <xdr:blipFill>
        <a:blip xmlns:r="http://schemas.openxmlformats.org/officeDocument/2006/relationships" r:embed="rId1"/>
        <a:stretch>
          <a:fillRect/>
        </a:stretch>
      </xdr:blipFill>
      <xdr:spPr>
        <a:xfrm>
          <a:off x="7862383" y="79375"/>
          <a:ext cx="4024192" cy="2683752"/>
        </a:xfrm>
        <a:prstGeom prst="rect">
          <a:avLst/>
        </a:prstGeom>
      </xdr:spPr>
    </xdr:pic>
    <xdr:clientData/>
  </xdr:twoCellAnchor>
  <xdr:twoCellAnchor editAs="oneCell">
    <xdr:from>
      <xdr:col>17</xdr:col>
      <xdr:colOff>50681</xdr:colOff>
      <xdr:row>0</xdr:row>
      <xdr:rowOff>35718</xdr:rowOff>
    </xdr:from>
    <xdr:to>
      <xdr:col>23</xdr:col>
      <xdr:colOff>52708</xdr:colOff>
      <xdr:row>7</xdr:row>
      <xdr:rowOff>142875</xdr:rowOff>
    </xdr:to>
    <xdr:pic>
      <xdr:nvPicPr>
        <xdr:cNvPr id="4" name="図 3">
          <a:extLst>
            <a:ext uri="{FF2B5EF4-FFF2-40B4-BE49-F238E27FC236}">
              <a16:creationId xmlns:a16="http://schemas.microsoft.com/office/drawing/2014/main" id="{A141DED9-924E-42F5-A70D-9137EDAECB57}"/>
            </a:ext>
          </a:extLst>
        </xdr:cNvPr>
        <xdr:cNvPicPr>
          <a:picLocks noChangeAspect="1"/>
        </xdr:cNvPicPr>
      </xdr:nvPicPr>
      <xdr:blipFill>
        <a:blip xmlns:r="http://schemas.openxmlformats.org/officeDocument/2006/relationships" r:embed="rId2"/>
        <a:stretch>
          <a:fillRect/>
        </a:stretch>
      </xdr:blipFill>
      <xdr:spPr>
        <a:xfrm>
          <a:off x="13163431" y="35718"/>
          <a:ext cx="4097777" cy="25995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1219200</xdr:colOff>
      <xdr:row>17</xdr:row>
      <xdr:rowOff>0</xdr:rowOff>
    </xdr:from>
    <xdr:to>
      <xdr:col>2</xdr:col>
      <xdr:colOff>1219200</xdr:colOff>
      <xdr:row>17</xdr:row>
      <xdr:rowOff>84455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2647950" y="6115050"/>
          <a:ext cx="76200" cy="85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1219200</xdr:colOff>
      <xdr:row>17</xdr:row>
      <xdr:rowOff>0</xdr:rowOff>
    </xdr:from>
    <xdr:to>
      <xdr:col>2</xdr:col>
      <xdr:colOff>1292225</xdr:colOff>
      <xdr:row>17</xdr:row>
      <xdr:rowOff>84455</xdr:rowOff>
    </xdr:to>
    <xdr:sp macro="" textlink="">
      <xdr:nvSpPr>
        <xdr:cNvPr id="3" name="Text Box 1">
          <a:extLst>
            <a:ext uri="{FF2B5EF4-FFF2-40B4-BE49-F238E27FC236}">
              <a16:creationId xmlns:a16="http://schemas.microsoft.com/office/drawing/2014/main" id="{00000000-0008-0000-0300-000003000000}"/>
            </a:ext>
          </a:extLst>
        </xdr:cNvPr>
        <xdr:cNvSpPr txBox="1">
          <a:spLocks noChangeArrowheads="1"/>
        </xdr:cNvSpPr>
      </xdr:nvSpPr>
      <xdr:spPr bwMode="auto">
        <a:xfrm>
          <a:off x="2647950" y="6115050"/>
          <a:ext cx="387350" cy="85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1219200</xdr:colOff>
      <xdr:row>10</xdr:row>
      <xdr:rowOff>0</xdr:rowOff>
    </xdr:from>
    <xdr:to>
      <xdr:col>1</xdr:col>
      <xdr:colOff>1219200</xdr:colOff>
      <xdr:row>10</xdr:row>
      <xdr:rowOff>82550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343025" y="2466975"/>
          <a:ext cx="0" cy="85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1219200</xdr:colOff>
      <xdr:row>11</xdr:row>
      <xdr:rowOff>0</xdr:rowOff>
    </xdr:from>
    <xdr:to>
      <xdr:col>3</xdr:col>
      <xdr:colOff>96837</xdr:colOff>
      <xdr:row>11</xdr:row>
      <xdr:rowOff>95250</xdr:rowOff>
    </xdr:to>
    <xdr:sp macro="" textlink="">
      <xdr:nvSpPr>
        <xdr:cNvPr id="2" name="Text Box 1">
          <a:extLst>
            <a:ext uri="{FF2B5EF4-FFF2-40B4-BE49-F238E27FC236}">
              <a16:creationId xmlns:a16="http://schemas.microsoft.com/office/drawing/2014/main" id="{17EEED31-6CDC-4011-8ED8-C8B94A782AFD}"/>
            </a:ext>
          </a:extLst>
        </xdr:cNvPr>
        <xdr:cNvSpPr txBox="1">
          <a:spLocks noChangeArrowheads="1"/>
        </xdr:cNvSpPr>
      </xdr:nvSpPr>
      <xdr:spPr bwMode="auto">
        <a:xfrm>
          <a:off x="2209800" y="4686300"/>
          <a:ext cx="89217" cy="876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1219200</xdr:colOff>
      <xdr:row>11</xdr:row>
      <xdr:rowOff>0</xdr:rowOff>
    </xdr:from>
    <xdr:to>
      <xdr:col>3</xdr:col>
      <xdr:colOff>210979</xdr:colOff>
      <xdr:row>11</xdr:row>
      <xdr:rowOff>95250</xdr:rowOff>
    </xdr:to>
    <xdr:sp macro="" textlink="">
      <xdr:nvSpPr>
        <xdr:cNvPr id="3" name="Text Box 1">
          <a:extLst>
            <a:ext uri="{FF2B5EF4-FFF2-40B4-BE49-F238E27FC236}">
              <a16:creationId xmlns:a16="http://schemas.microsoft.com/office/drawing/2014/main" id="{2D870509-E8BF-418B-8313-1BA35544E421}"/>
            </a:ext>
          </a:extLst>
        </xdr:cNvPr>
        <xdr:cNvSpPr txBox="1">
          <a:spLocks noChangeArrowheads="1"/>
        </xdr:cNvSpPr>
      </xdr:nvSpPr>
      <xdr:spPr bwMode="auto">
        <a:xfrm>
          <a:off x="2209800" y="4686300"/>
          <a:ext cx="199549" cy="876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1219200</xdr:colOff>
      <xdr:row>13</xdr:row>
      <xdr:rowOff>0</xdr:rowOff>
    </xdr:from>
    <xdr:ext cx="97790" cy="91440"/>
    <xdr:sp macro="" textlink="">
      <xdr:nvSpPr>
        <xdr:cNvPr id="4" name="Text Box 1">
          <a:extLst>
            <a:ext uri="{FF2B5EF4-FFF2-40B4-BE49-F238E27FC236}">
              <a16:creationId xmlns:a16="http://schemas.microsoft.com/office/drawing/2014/main" id="{01FD69B1-8DDE-4B8B-B213-392E54C99B77}"/>
            </a:ext>
          </a:extLst>
        </xdr:cNvPr>
        <xdr:cNvSpPr txBox="1">
          <a:spLocks noChangeArrowheads="1"/>
        </xdr:cNvSpPr>
      </xdr:nvSpPr>
      <xdr:spPr bwMode="auto">
        <a:xfrm>
          <a:off x="2209800" y="3917156"/>
          <a:ext cx="97790" cy="91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1219200</xdr:colOff>
      <xdr:row>13</xdr:row>
      <xdr:rowOff>0</xdr:rowOff>
    </xdr:from>
    <xdr:ext cx="211932" cy="91440"/>
    <xdr:sp macro="" textlink="">
      <xdr:nvSpPr>
        <xdr:cNvPr id="5" name="Text Box 1">
          <a:extLst>
            <a:ext uri="{FF2B5EF4-FFF2-40B4-BE49-F238E27FC236}">
              <a16:creationId xmlns:a16="http://schemas.microsoft.com/office/drawing/2014/main" id="{75B13CCB-A159-4BE0-86A1-F5A86E09DB70}"/>
            </a:ext>
          </a:extLst>
        </xdr:cNvPr>
        <xdr:cNvSpPr txBox="1">
          <a:spLocks noChangeArrowheads="1"/>
        </xdr:cNvSpPr>
      </xdr:nvSpPr>
      <xdr:spPr bwMode="auto">
        <a:xfrm>
          <a:off x="2209800" y="3917156"/>
          <a:ext cx="211932" cy="91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1219200</xdr:colOff>
      <xdr:row>10</xdr:row>
      <xdr:rowOff>0</xdr:rowOff>
    </xdr:from>
    <xdr:ext cx="97790" cy="91440"/>
    <xdr:sp macro="" textlink="">
      <xdr:nvSpPr>
        <xdr:cNvPr id="6" name="Text Box 1">
          <a:extLst>
            <a:ext uri="{FF2B5EF4-FFF2-40B4-BE49-F238E27FC236}">
              <a16:creationId xmlns:a16="http://schemas.microsoft.com/office/drawing/2014/main" id="{C0E93FF2-6FF5-4381-8C2D-A210A0B4AD5E}"/>
            </a:ext>
          </a:extLst>
        </xdr:cNvPr>
        <xdr:cNvSpPr txBox="1">
          <a:spLocks noChangeArrowheads="1"/>
        </xdr:cNvSpPr>
      </xdr:nvSpPr>
      <xdr:spPr bwMode="auto">
        <a:xfrm>
          <a:off x="2209800" y="4667250"/>
          <a:ext cx="97790" cy="91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1219200</xdr:colOff>
      <xdr:row>10</xdr:row>
      <xdr:rowOff>0</xdr:rowOff>
    </xdr:from>
    <xdr:ext cx="211932" cy="91440"/>
    <xdr:sp macro="" textlink="">
      <xdr:nvSpPr>
        <xdr:cNvPr id="7" name="Text Box 1">
          <a:extLst>
            <a:ext uri="{FF2B5EF4-FFF2-40B4-BE49-F238E27FC236}">
              <a16:creationId xmlns:a16="http://schemas.microsoft.com/office/drawing/2014/main" id="{45704FD9-3D09-4F1E-81EC-CA7653667504}"/>
            </a:ext>
          </a:extLst>
        </xdr:cNvPr>
        <xdr:cNvSpPr txBox="1">
          <a:spLocks noChangeArrowheads="1"/>
        </xdr:cNvSpPr>
      </xdr:nvSpPr>
      <xdr:spPr bwMode="auto">
        <a:xfrm>
          <a:off x="2209800" y="4667250"/>
          <a:ext cx="211932" cy="91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xdr:col>
      <xdr:colOff>1219200</xdr:colOff>
      <xdr:row>13</xdr:row>
      <xdr:rowOff>0</xdr:rowOff>
    </xdr:from>
    <xdr:to>
      <xdr:col>3</xdr:col>
      <xdr:colOff>84137</xdr:colOff>
      <xdr:row>13</xdr:row>
      <xdr:rowOff>82550</xdr:rowOff>
    </xdr:to>
    <xdr:sp macro="" textlink="">
      <xdr:nvSpPr>
        <xdr:cNvPr id="2" name="Text Box 1">
          <a:extLst>
            <a:ext uri="{FF2B5EF4-FFF2-40B4-BE49-F238E27FC236}">
              <a16:creationId xmlns:a16="http://schemas.microsoft.com/office/drawing/2014/main" id="{9A992EEE-FE9D-445B-9424-1D0221E34914}"/>
            </a:ext>
          </a:extLst>
        </xdr:cNvPr>
        <xdr:cNvSpPr txBox="1">
          <a:spLocks noChangeArrowheads="1"/>
        </xdr:cNvSpPr>
      </xdr:nvSpPr>
      <xdr:spPr bwMode="auto">
        <a:xfrm>
          <a:off x="2238375" y="6257925"/>
          <a:ext cx="93662" cy="8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1219200</xdr:colOff>
      <xdr:row>13</xdr:row>
      <xdr:rowOff>0</xdr:rowOff>
    </xdr:from>
    <xdr:to>
      <xdr:col>3</xdr:col>
      <xdr:colOff>200819</xdr:colOff>
      <xdr:row>13</xdr:row>
      <xdr:rowOff>82550</xdr:rowOff>
    </xdr:to>
    <xdr:sp macro="" textlink="">
      <xdr:nvSpPr>
        <xdr:cNvPr id="3" name="Text Box 1">
          <a:extLst>
            <a:ext uri="{FF2B5EF4-FFF2-40B4-BE49-F238E27FC236}">
              <a16:creationId xmlns:a16="http://schemas.microsoft.com/office/drawing/2014/main" id="{D4352613-67CA-4A37-93C3-743AAD911695}"/>
            </a:ext>
          </a:extLst>
        </xdr:cNvPr>
        <xdr:cNvSpPr txBox="1">
          <a:spLocks noChangeArrowheads="1"/>
        </xdr:cNvSpPr>
      </xdr:nvSpPr>
      <xdr:spPr bwMode="auto">
        <a:xfrm>
          <a:off x="2238375" y="6257925"/>
          <a:ext cx="210344" cy="8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74916</xdr:colOff>
      <xdr:row>0</xdr:row>
      <xdr:rowOff>21166</xdr:rowOff>
    </xdr:from>
    <xdr:to>
      <xdr:col>15</xdr:col>
      <xdr:colOff>680763</xdr:colOff>
      <xdr:row>11</xdr:row>
      <xdr:rowOff>95037</xdr:rowOff>
    </xdr:to>
    <xdr:pic>
      <xdr:nvPicPr>
        <xdr:cNvPr id="2" name="図 1">
          <a:extLst>
            <a:ext uri="{FF2B5EF4-FFF2-40B4-BE49-F238E27FC236}">
              <a16:creationId xmlns:a16="http://schemas.microsoft.com/office/drawing/2014/main" id="{4308EB60-868D-4EF2-BC92-05CD393A9C42}"/>
            </a:ext>
          </a:extLst>
        </xdr:cNvPr>
        <xdr:cNvPicPr>
          <a:picLocks noChangeAspect="1"/>
        </xdr:cNvPicPr>
      </xdr:nvPicPr>
      <xdr:blipFill>
        <a:blip xmlns:r="http://schemas.openxmlformats.org/officeDocument/2006/relationships" r:embed="rId1"/>
        <a:stretch>
          <a:fillRect/>
        </a:stretch>
      </xdr:blipFill>
      <xdr:spPr>
        <a:xfrm>
          <a:off x="7218666" y="21166"/>
          <a:ext cx="5209597" cy="3375871"/>
        </a:xfrm>
        <a:prstGeom prst="rect">
          <a:avLst/>
        </a:prstGeom>
      </xdr:spPr>
    </xdr:pic>
    <xdr:clientData/>
  </xdr:twoCellAnchor>
  <xdr:twoCellAnchor editAs="oneCell">
    <xdr:from>
      <xdr:col>9</xdr:col>
      <xdr:colOff>118040</xdr:colOff>
      <xdr:row>12</xdr:row>
      <xdr:rowOff>126998</xdr:rowOff>
    </xdr:from>
    <xdr:to>
      <xdr:col>15</xdr:col>
      <xdr:colOff>252145</xdr:colOff>
      <xdr:row>28</xdr:row>
      <xdr:rowOff>26230</xdr:rowOff>
    </xdr:to>
    <xdr:pic>
      <xdr:nvPicPr>
        <xdr:cNvPr id="3" name="図 2">
          <a:extLst>
            <a:ext uri="{FF2B5EF4-FFF2-40B4-BE49-F238E27FC236}">
              <a16:creationId xmlns:a16="http://schemas.microsoft.com/office/drawing/2014/main" id="{6A82155E-1863-45C6-9077-B2DFAE2EA904}"/>
            </a:ext>
          </a:extLst>
        </xdr:cNvPr>
        <xdr:cNvPicPr>
          <a:picLocks noChangeAspect="1"/>
        </xdr:cNvPicPr>
      </xdr:nvPicPr>
      <xdr:blipFill>
        <a:blip xmlns:r="http://schemas.openxmlformats.org/officeDocument/2006/relationships" r:embed="rId2"/>
        <a:stretch>
          <a:fillRect/>
        </a:stretch>
      </xdr:blipFill>
      <xdr:spPr>
        <a:xfrm>
          <a:off x="7261790" y="3598331"/>
          <a:ext cx="4759022" cy="3000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1762125</xdr:colOff>
      <xdr:row>119</xdr:row>
      <xdr:rowOff>9525</xdr:rowOff>
    </xdr:from>
    <xdr:to>
      <xdr:col>0</xdr:col>
      <xdr:colOff>2143125</xdr:colOff>
      <xdr:row>120</xdr:row>
      <xdr:rowOff>57150</xdr:rowOff>
    </xdr:to>
    <xdr:sp macro="" textlink="">
      <xdr:nvSpPr>
        <xdr:cNvPr id="3" name="Oval 7">
          <a:extLst>
            <a:ext uri="{FF2B5EF4-FFF2-40B4-BE49-F238E27FC236}">
              <a16:creationId xmlns:a16="http://schemas.microsoft.com/office/drawing/2014/main" id="{0D089E9F-124D-4F70-8BC2-B485E834256B}"/>
            </a:ext>
          </a:extLst>
        </xdr:cNvPr>
        <xdr:cNvSpPr>
          <a:spLocks noChangeArrowheads="1"/>
        </xdr:cNvSpPr>
      </xdr:nvSpPr>
      <xdr:spPr bwMode="auto">
        <a:xfrm>
          <a:off x="1762125" y="30327600"/>
          <a:ext cx="381000" cy="2952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76200</xdr:colOff>
      <xdr:row>166</xdr:row>
      <xdr:rowOff>133350</xdr:rowOff>
    </xdr:from>
    <xdr:to>
      <xdr:col>3</xdr:col>
      <xdr:colOff>1190625</xdr:colOff>
      <xdr:row>172</xdr:row>
      <xdr:rowOff>85725</xdr:rowOff>
    </xdr:to>
    <xdr:cxnSp macro="">
      <xdr:nvCxnSpPr>
        <xdr:cNvPr id="4" name="AutoShape 10">
          <a:extLst>
            <a:ext uri="{FF2B5EF4-FFF2-40B4-BE49-F238E27FC236}">
              <a16:creationId xmlns:a16="http://schemas.microsoft.com/office/drawing/2014/main" id="{BDBD90FC-0B8F-4E52-BCDD-C07108C4F95E}"/>
            </a:ext>
          </a:extLst>
        </xdr:cNvPr>
        <xdr:cNvCxnSpPr>
          <a:cxnSpLocks noChangeShapeType="1"/>
        </xdr:cNvCxnSpPr>
      </xdr:nvCxnSpPr>
      <xdr:spPr bwMode="auto">
        <a:xfrm flipV="1">
          <a:off x="76200" y="42300525"/>
          <a:ext cx="9344025" cy="13906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57150</xdr:colOff>
      <xdr:row>181</xdr:row>
      <xdr:rowOff>209550</xdr:rowOff>
    </xdr:from>
    <xdr:to>
      <xdr:col>3</xdr:col>
      <xdr:colOff>1200150</xdr:colOff>
      <xdr:row>187</xdr:row>
      <xdr:rowOff>133350</xdr:rowOff>
    </xdr:to>
    <xdr:cxnSp macro="">
      <xdr:nvCxnSpPr>
        <xdr:cNvPr id="5" name="AutoShape 11">
          <a:extLst>
            <a:ext uri="{FF2B5EF4-FFF2-40B4-BE49-F238E27FC236}">
              <a16:creationId xmlns:a16="http://schemas.microsoft.com/office/drawing/2014/main" id="{D92ADDFB-87D8-43F6-A7A8-24F3146C10C2}"/>
            </a:ext>
          </a:extLst>
        </xdr:cNvPr>
        <xdr:cNvCxnSpPr>
          <a:cxnSpLocks noChangeShapeType="1"/>
        </xdr:cNvCxnSpPr>
      </xdr:nvCxnSpPr>
      <xdr:spPr bwMode="auto">
        <a:xfrm flipV="1">
          <a:off x="57150" y="46015275"/>
          <a:ext cx="9372600" cy="136207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66675</xdr:colOff>
      <xdr:row>193</xdr:row>
      <xdr:rowOff>190500</xdr:rowOff>
    </xdr:from>
    <xdr:to>
      <xdr:col>3</xdr:col>
      <xdr:colOff>1181100</xdr:colOff>
      <xdr:row>199</xdr:row>
      <xdr:rowOff>142875</xdr:rowOff>
    </xdr:to>
    <xdr:cxnSp macro="">
      <xdr:nvCxnSpPr>
        <xdr:cNvPr id="6" name="AutoShape 12">
          <a:extLst>
            <a:ext uri="{FF2B5EF4-FFF2-40B4-BE49-F238E27FC236}">
              <a16:creationId xmlns:a16="http://schemas.microsoft.com/office/drawing/2014/main" id="{27437A8C-DF12-4DB8-A01C-B59314CECDD5}"/>
            </a:ext>
          </a:extLst>
        </xdr:cNvPr>
        <xdr:cNvCxnSpPr>
          <a:cxnSpLocks noChangeShapeType="1"/>
        </xdr:cNvCxnSpPr>
      </xdr:nvCxnSpPr>
      <xdr:spPr bwMode="auto">
        <a:xfrm flipV="1">
          <a:off x="66675" y="48920400"/>
          <a:ext cx="9344025" cy="13906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0</xdr:colOff>
      <xdr:row>207</xdr:row>
      <xdr:rowOff>9525</xdr:rowOff>
    </xdr:from>
    <xdr:to>
      <xdr:col>3</xdr:col>
      <xdr:colOff>1114425</xdr:colOff>
      <xdr:row>214</xdr:row>
      <xdr:rowOff>0</xdr:rowOff>
    </xdr:to>
    <xdr:cxnSp macro="">
      <xdr:nvCxnSpPr>
        <xdr:cNvPr id="7" name="AutoShape 13">
          <a:extLst>
            <a:ext uri="{FF2B5EF4-FFF2-40B4-BE49-F238E27FC236}">
              <a16:creationId xmlns:a16="http://schemas.microsoft.com/office/drawing/2014/main" id="{D4329A52-2405-4287-9107-F1E804113EDE}"/>
            </a:ext>
          </a:extLst>
        </xdr:cNvPr>
        <xdr:cNvCxnSpPr>
          <a:cxnSpLocks noChangeShapeType="1"/>
        </xdr:cNvCxnSpPr>
      </xdr:nvCxnSpPr>
      <xdr:spPr bwMode="auto">
        <a:xfrm flipV="1">
          <a:off x="0" y="52111275"/>
          <a:ext cx="9344025" cy="16573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66675</xdr:colOff>
      <xdr:row>219</xdr:row>
      <xdr:rowOff>161925</xdr:rowOff>
    </xdr:from>
    <xdr:to>
      <xdr:col>3</xdr:col>
      <xdr:colOff>1190625</xdr:colOff>
      <xdr:row>225</xdr:row>
      <xdr:rowOff>228600</xdr:rowOff>
    </xdr:to>
    <xdr:cxnSp macro="">
      <xdr:nvCxnSpPr>
        <xdr:cNvPr id="8" name="AutoShape 14">
          <a:extLst>
            <a:ext uri="{FF2B5EF4-FFF2-40B4-BE49-F238E27FC236}">
              <a16:creationId xmlns:a16="http://schemas.microsoft.com/office/drawing/2014/main" id="{89F2A808-14DD-4224-A01D-CA7C36A943D5}"/>
            </a:ext>
          </a:extLst>
        </xdr:cNvPr>
        <xdr:cNvCxnSpPr>
          <a:cxnSpLocks noChangeShapeType="1"/>
        </xdr:cNvCxnSpPr>
      </xdr:nvCxnSpPr>
      <xdr:spPr bwMode="auto">
        <a:xfrm flipV="1">
          <a:off x="66675" y="55168800"/>
          <a:ext cx="9353550" cy="15049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0</xdr:colOff>
      <xdr:row>233</xdr:row>
      <xdr:rowOff>9525</xdr:rowOff>
    </xdr:from>
    <xdr:to>
      <xdr:col>3</xdr:col>
      <xdr:colOff>1114425</xdr:colOff>
      <xdr:row>237</xdr:row>
      <xdr:rowOff>95250</xdr:rowOff>
    </xdr:to>
    <xdr:cxnSp macro="">
      <xdr:nvCxnSpPr>
        <xdr:cNvPr id="9" name="AutoShape 15">
          <a:extLst>
            <a:ext uri="{FF2B5EF4-FFF2-40B4-BE49-F238E27FC236}">
              <a16:creationId xmlns:a16="http://schemas.microsoft.com/office/drawing/2014/main" id="{08C2F74A-B408-4DC7-997F-E64740841794}"/>
            </a:ext>
          </a:extLst>
        </xdr:cNvPr>
        <xdr:cNvCxnSpPr>
          <a:cxnSpLocks noChangeShapeType="1"/>
        </xdr:cNvCxnSpPr>
      </xdr:nvCxnSpPr>
      <xdr:spPr bwMode="auto">
        <a:xfrm flipV="1">
          <a:off x="0" y="58416825"/>
          <a:ext cx="9344025" cy="10382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66675</xdr:colOff>
      <xdr:row>273</xdr:row>
      <xdr:rowOff>28575</xdr:rowOff>
    </xdr:from>
    <xdr:to>
      <xdr:col>3</xdr:col>
      <xdr:colOff>1209675</xdr:colOff>
      <xdr:row>279</xdr:row>
      <xdr:rowOff>57150</xdr:rowOff>
    </xdr:to>
    <xdr:cxnSp macro="">
      <xdr:nvCxnSpPr>
        <xdr:cNvPr id="10" name="AutoShape 16">
          <a:extLst>
            <a:ext uri="{FF2B5EF4-FFF2-40B4-BE49-F238E27FC236}">
              <a16:creationId xmlns:a16="http://schemas.microsoft.com/office/drawing/2014/main" id="{624B9661-0D5B-4912-8320-0524B56638FA}"/>
            </a:ext>
          </a:extLst>
        </xdr:cNvPr>
        <xdr:cNvCxnSpPr>
          <a:cxnSpLocks noChangeShapeType="1"/>
        </xdr:cNvCxnSpPr>
      </xdr:nvCxnSpPr>
      <xdr:spPr bwMode="auto">
        <a:xfrm flipV="1">
          <a:off x="66675" y="68189475"/>
          <a:ext cx="9372600" cy="18097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0</xdr:colOff>
      <xdr:row>281</xdr:row>
      <xdr:rowOff>0</xdr:rowOff>
    </xdr:from>
    <xdr:to>
      <xdr:col>3</xdr:col>
      <xdr:colOff>1114425</xdr:colOff>
      <xdr:row>284</xdr:row>
      <xdr:rowOff>19050</xdr:rowOff>
    </xdr:to>
    <xdr:cxnSp macro="">
      <xdr:nvCxnSpPr>
        <xdr:cNvPr id="11" name="AutoShape 17">
          <a:extLst>
            <a:ext uri="{FF2B5EF4-FFF2-40B4-BE49-F238E27FC236}">
              <a16:creationId xmlns:a16="http://schemas.microsoft.com/office/drawing/2014/main" id="{924502A4-FFD8-4B25-8C9E-D7EF50958922}"/>
            </a:ext>
          </a:extLst>
        </xdr:cNvPr>
        <xdr:cNvCxnSpPr>
          <a:cxnSpLocks noChangeShapeType="1"/>
        </xdr:cNvCxnSpPr>
      </xdr:nvCxnSpPr>
      <xdr:spPr bwMode="auto">
        <a:xfrm flipV="1">
          <a:off x="0" y="70437375"/>
          <a:ext cx="9344025" cy="12382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0</xdr:colOff>
      <xdr:row>299</xdr:row>
      <xdr:rowOff>38100</xdr:rowOff>
    </xdr:from>
    <xdr:to>
      <xdr:col>3</xdr:col>
      <xdr:colOff>1133475</xdr:colOff>
      <xdr:row>302</xdr:row>
      <xdr:rowOff>104775</xdr:rowOff>
    </xdr:to>
    <xdr:cxnSp macro="">
      <xdr:nvCxnSpPr>
        <xdr:cNvPr id="12" name="AutoShape 18">
          <a:extLst>
            <a:ext uri="{FF2B5EF4-FFF2-40B4-BE49-F238E27FC236}">
              <a16:creationId xmlns:a16="http://schemas.microsoft.com/office/drawing/2014/main" id="{0E43733A-04A7-4431-89C8-1A6EE067686D}"/>
            </a:ext>
          </a:extLst>
        </xdr:cNvPr>
        <xdr:cNvCxnSpPr>
          <a:cxnSpLocks noChangeShapeType="1"/>
        </xdr:cNvCxnSpPr>
      </xdr:nvCxnSpPr>
      <xdr:spPr bwMode="auto">
        <a:xfrm flipV="1">
          <a:off x="0" y="75285600"/>
          <a:ext cx="9363075" cy="7810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66675</xdr:colOff>
      <xdr:row>337</xdr:row>
      <xdr:rowOff>200025</xdr:rowOff>
    </xdr:from>
    <xdr:to>
      <xdr:col>2</xdr:col>
      <xdr:colOff>2619375</xdr:colOff>
      <xdr:row>341</xdr:row>
      <xdr:rowOff>9525</xdr:rowOff>
    </xdr:to>
    <xdr:cxnSp macro="">
      <xdr:nvCxnSpPr>
        <xdr:cNvPr id="13" name="AutoShape 19">
          <a:extLst>
            <a:ext uri="{FF2B5EF4-FFF2-40B4-BE49-F238E27FC236}">
              <a16:creationId xmlns:a16="http://schemas.microsoft.com/office/drawing/2014/main" id="{70253961-A5B1-4513-8BCE-E0F3B6C7165D}"/>
            </a:ext>
          </a:extLst>
        </xdr:cNvPr>
        <xdr:cNvCxnSpPr>
          <a:cxnSpLocks noChangeShapeType="1"/>
        </xdr:cNvCxnSpPr>
      </xdr:nvCxnSpPr>
      <xdr:spPr bwMode="auto">
        <a:xfrm flipV="1">
          <a:off x="66675" y="84715350"/>
          <a:ext cx="8039100" cy="771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0</xdr:colOff>
      <xdr:row>348</xdr:row>
      <xdr:rowOff>28575</xdr:rowOff>
    </xdr:from>
    <xdr:to>
      <xdr:col>3</xdr:col>
      <xdr:colOff>1123950</xdr:colOff>
      <xdr:row>351</xdr:row>
      <xdr:rowOff>95250</xdr:rowOff>
    </xdr:to>
    <xdr:cxnSp macro="">
      <xdr:nvCxnSpPr>
        <xdr:cNvPr id="14" name="AutoShape 20">
          <a:extLst>
            <a:ext uri="{FF2B5EF4-FFF2-40B4-BE49-F238E27FC236}">
              <a16:creationId xmlns:a16="http://schemas.microsoft.com/office/drawing/2014/main" id="{E3449565-CA09-4CD5-B798-3F0DF73DF07B}"/>
            </a:ext>
          </a:extLst>
        </xdr:cNvPr>
        <xdr:cNvCxnSpPr>
          <a:cxnSpLocks noChangeShapeType="1"/>
        </xdr:cNvCxnSpPr>
      </xdr:nvCxnSpPr>
      <xdr:spPr bwMode="auto">
        <a:xfrm flipV="1">
          <a:off x="0" y="87201375"/>
          <a:ext cx="9353550" cy="7810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0</xdr:colOff>
      <xdr:row>357</xdr:row>
      <xdr:rowOff>9525</xdr:rowOff>
    </xdr:from>
    <xdr:to>
      <xdr:col>3</xdr:col>
      <xdr:colOff>1114425</xdr:colOff>
      <xdr:row>359</xdr:row>
      <xdr:rowOff>104775</xdr:rowOff>
    </xdr:to>
    <xdr:cxnSp macro="">
      <xdr:nvCxnSpPr>
        <xdr:cNvPr id="15" name="AutoShape 21">
          <a:extLst>
            <a:ext uri="{FF2B5EF4-FFF2-40B4-BE49-F238E27FC236}">
              <a16:creationId xmlns:a16="http://schemas.microsoft.com/office/drawing/2014/main" id="{15F2663F-6D2D-41E9-8B31-71C356334DBE}"/>
            </a:ext>
          </a:extLst>
        </xdr:cNvPr>
        <xdr:cNvCxnSpPr>
          <a:cxnSpLocks noChangeShapeType="1"/>
        </xdr:cNvCxnSpPr>
      </xdr:nvCxnSpPr>
      <xdr:spPr bwMode="auto">
        <a:xfrm flipV="1">
          <a:off x="0" y="89382600"/>
          <a:ext cx="9344025" cy="5715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704850</xdr:colOff>
      <xdr:row>4</xdr:row>
      <xdr:rowOff>114300</xdr:rowOff>
    </xdr:from>
    <xdr:to>
      <xdr:col>0</xdr:col>
      <xdr:colOff>1695450</xdr:colOff>
      <xdr:row>5</xdr:row>
      <xdr:rowOff>142875</xdr:rowOff>
    </xdr:to>
    <xdr:sp macro="" textlink="">
      <xdr:nvSpPr>
        <xdr:cNvPr id="16" name="Oval 22">
          <a:extLst>
            <a:ext uri="{FF2B5EF4-FFF2-40B4-BE49-F238E27FC236}">
              <a16:creationId xmlns:a16="http://schemas.microsoft.com/office/drawing/2014/main" id="{8BC9A2C5-AA72-4963-8323-0D7F2ABA47B4}"/>
            </a:ext>
          </a:extLst>
        </xdr:cNvPr>
        <xdr:cNvSpPr>
          <a:spLocks noChangeArrowheads="1"/>
        </xdr:cNvSpPr>
      </xdr:nvSpPr>
      <xdr:spPr bwMode="auto">
        <a:xfrm>
          <a:off x="704850" y="1066800"/>
          <a:ext cx="990600"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1219200</xdr:colOff>
      <xdr:row>20</xdr:row>
      <xdr:rowOff>0</xdr:rowOff>
    </xdr:from>
    <xdr:to>
      <xdr:col>3</xdr:col>
      <xdr:colOff>1295400</xdr:colOff>
      <xdr:row>20</xdr:row>
      <xdr:rowOff>82550</xdr:rowOff>
    </xdr:to>
    <xdr:sp macro="" textlink="">
      <xdr:nvSpPr>
        <xdr:cNvPr id="2" name="Text Box 1">
          <a:extLst>
            <a:ext uri="{FF2B5EF4-FFF2-40B4-BE49-F238E27FC236}">
              <a16:creationId xmlns:a16="http://schemas.microsoft.com/office/drawing/2014/main" id="{41066EE9-6728-4455-A0FC-1338245D2313}"/>
            </a:ext>
          </a:extLst>
        </xdr:cNvPr>
        <xdr:cNvSpPr txBox="1">
          <a:spLocks noChangeArrowheads="1"/>
        </xdr:cNvSpPr>
      </xdr:nvSpPr>
      <xdr:spPr bwMode="auto">
        <a:xfrm>
          <a:off x="3952875" y="7705725"/>
          <a:ext cx="76200" cy="8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1219200</xdr:colOff>
      <xdr:row>20</xdr:row>
      <xdr:rowOff>0</xdr:rowOff>
    </xdr:from>
    <xdr:to>
      <xdr:col>4</xdr:col>
      <xdr:colOff>73025</xdr:colOff>
      <xdr:row>20</xdr:row>
      <xdr:rowOff>82550</xdr:rowOff>
    </xdr:to>
    <xdr:sp macro="" textlink="">
      <xdr:nvSpPr>
        <xdr:cNvPr id="3" name="Text Box 1">
          <a:extLst>
            <a:ext uri="{FF2B5EF4-FFF2-40B4-BE49-F238E27FC236}">
              <a16:creationId xmlns:a16="http://schemas.microsoft.com/office/drawing/2014/main" id="{3458723A-3387-422C-89F8-2C20336FF393}"/>
            </a:ext>
          </a:extLst>
        </xdr:cNvPr>
        <xdr:cNvSpPr txBox="1">
          <a:spLocks noChangeArrowheads="1"/>
        </xdr:cNvSpPr>
      </xdr:nvSpPr>
      <xdr:spPr bwMode="auto">
        <a:xfrm>
          <a:off x="3952875" y="7705725"/>
          <a:ext cx="387350" cy="8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1219200</xdr:colOff>
      <xdr:row>38</xdr:row>
      <xdr:rowOff>0</xdr:rowOff>
    </xdr:from>
    <xdr:to>
      <xdr:col>1</xdr:col>
      <xdr:colOff>1219200</xdr:colOff>
      <xdr:row>38</xdr:row>
      <xdr:rowOff>82550</xdr:rowOff>
    </xdr:to>
    <xdr:sp macro="" textlink="">
      <xdr:nvSpPr>
        <xdr:cNvPr id="12" name="Text Box 1">
          <a:extLst>
            <a:ext uri="{FF2B5EF4-FFF2-40B4-BE49-F238E27FC236}">
              <a16:creationId xmlns:a16="http://schemas.microsoft.com/office/drawing/2014/main" id="{8BD37907-35A7-4FD2-9983-EA14DB001F2B}"/>
            </a:ext>
          </a:extLst>
        </xdr:cNvPr>
        <xdr:cNvSpPr txBox="1">
          <a:spLocks noChangeArrowheads="1"/>
        </xdr:cNvSpPr>
      </xdr:nvSpPr>
      <xdr:spPr bwMode="auto">
        <a:xfrm>
          <a:off x="1343025" y="2238375"/>
          <a:ext cx="0" cy="8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1219200</xdr:colOff>
      <xdr:row>26</xdr:row>
      <xdr:rowOff>0</xdr:rowOff>
    </xdr:from>
    <xdr:to>
      <xdr:col>1</xdr:col>
      <xdr:colOff>1219200</xdr:colOff>
      <xdr:row>26</xdr:row>
      <xdr:rowOff>95250</xdr:rowOff>
    </xdr:to>
    <xdr:sp macro="" textlink="">
      <xdr:nvSpPr>
        <xdr:cNvPr id="13" name="Text Box 1">
          <a:extLst>
            <a:ext uri="{FF2B5EF4-FFF2-40B4-BE49-F238E27FC236}">
              <a16:creationId xmlns:a16="http://schemas.microsoft.com/office/drawing/2014/main" id="{AD214F5D-225A-48F6-B3AC-E80B290496C5}"/>
            </a:ext>
          </a:extLst>
        </xdr:cNvPr>
        <xdr:cNvSpPr txBox="1">
          <a:spLocks noChangeArrowheads="1"/>
        </xdr:cNvSpPr>
      </xdr:nvSpPr>
      <xdr:spPr bwMode="auto">
        <a:xfrm>
          <a:off x="1343025" y="171450"/>
          <a:ext cx="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1219200</xdr:colOff>
      <xdr:row>26</xdr:row>
      <xdr:rowOff>0</xdr:rowOff>
    </xdr:from>
    <xdr:ext cx="0" cy="85725"/>
    <xdr:sp macro="" textlink="">
      <xdr:nvSpPr>
        <xdr:cNvPr id="14" name="Text Box 1">
          <a:extLst>
            <a:ext uri="{FF2B5EF4-FFF2-40B4-BE49-F238E27FC236}">
              <a16:creationId xmlns:a16="http://schemas.microsoft.com/office/drawing/2014/main" id="{AB6E5CC8-AAD6-49E7-94B6-286614EB026E}"/>
            </a:ext>
          </a:extLst>
        </xdr:cNvPr>
        <xdr:cNvSpPr txBox="1">
          <a:spLocks noChangeArrowheads="1"/>
        </xdr:cNvSpPr>
      </xdr:nvSpPr>
      <xdr:spPr bwMode="auto">
        <a:xfrm>
          <a:off x="1343025" y="171450"/>
          <a:ext cx="0" cy="85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1219200</xdr:colOff>
      <xdr:row>35</xdr:row>
      <xdr:rowOff>0</xdr:rowOff>
    </xdr:from>
    <xdr:ext cx="0" cy="85725"/>
    <xdr:sp macro="" textlink="">
      <xdr:nvSpPr>
        <xdr:cNvPr id="15" name="Text Box 1">
          <a:extLst>
            <a:ext uri="{FF2B5EF4-FFF2-40B4-BE49-F238E27FC236}">
              <a16:creationId xmlns:a16="http://schemas.microsoft.com/office/drawing/2014/main" id="{667B3777-B8B4-4EF3-94CB-C4C55F0F6039}"/>
            </a:ext>
          </a:extLst>
        </xdr:cNvPr>
        <xdr:cNvSpPr txBox="1">
          <a:spLocks noChangeArrowheads="1"/>
        </xdr:cNvSpPr>
      </xdr:nvSpPr>
      <xdr:spPr bwMode="auto">
        <a:xfrm>
          <a:off x="1343025" y="1676400"/>
          <a:ext cx="0" cy="85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1219200</xdr:colOff>
      <xdr:row>26</xdr:row>
      <xdr:rowOff>0</xdr:rowOff>
    </xdr:from>
    <xdr:to>
      <xdr:col>1</xdr:col>
      <xdr:colOff>1219200</xdr:colOff>
      <xdr:row>26</xdr:row>
      <xdr:rowOff>95250</xdr:rowOff>
    </xdr:to>
    <xdr:sp macro="" textlink="">
      <xdr:nvSpPr>
        <xdr:cNvPr id="16" name="Text Box 1">
          <a:extLst>
            <a:ext uri="{FF2B5EF4-FFF2-40B4-BE49-F238E27FC236}">
              <a16:creationId xmlns:a16="http://schemas.microsoft.com/office/drawing/2014/main" id="{859D66E7-0EE3-498A-BBD7-68CB7FE85A4F}"/>
            </a:ext>
          </a:extLst>
        </xdr:cNvPr>
        <xdr:cNvSpPr txBox="1">
          <a:spLocks noChangeArrowheads="1"/>
        </xdr:cNvSpPr>
      </xdr:nvSpPr>
      <xdr:spPr bwMode="auto">
        <a:xfrm>
          <a:off x="1343025" y="171450"/>
          <a:ext cx="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1219200</xdr:colOff>
      <xdr:row>26</xdr:row>
      <xdr:rowOff>0</xdr:rowOff>
    </xdr:from>
    <xdr:ext cx="0" cy="85725"/>
    <xdr:sp macro="" textlink="">
      <xdr:nvSpPr>
        <xdr:cNvPr id="17" name="Text Box 1">
          <a:extLst>
            <a:ext uri="{FF2B5EF4-FFF2-40B4-BE49-F238E27FC236}">
              <a16:creationId xmlns:a16="http://schemas.microsoft.com/office/drawing/2014/main" id="{22D8504D-5E30-41DA-A03E-083AB6955EC3}"/>
            </a:ext>
          </a:extLst>
        </xdr:cNvPr>
        <xdr:cNvSpPr txBox="1">
          <a:spLocks noChangeArrowheads="1"/>
        </xdr:cNvSpPr>
      </xdr:nvSpPr>
      <xdr:spPr bwMode="auto">
        <a:xfrm>
          <a:off x="1343025" y="171450"/>
          <a:ext cx="0" cy="85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1219200</xdr:colOff>
      <xdr:row>35</xdr:row>
      <xdr:rowOff>0</xdr:rowOff>
    </xdr:from>
    <xdr:ext cx="0" cy="85725"/>
    <xdr:sp macro="" textlink="">
      <xdr:nvSpPr>
        <xdr:cNvPr id="18" name="Text Box 1">
          <a:extLst>
            <a:ext uri="{FF2B5EF4-FFF2-40B4-BE49-F238E27FC236}">
              <a16:creationId xmlns:a16="http://schemas.microsoft.com/office/drawing/2014/main" id="{3ED83C73-924C-484E-8409-E6215F1C4EFF}"/>
            </a:ext>
          </a:extLst>
        </xdr:cNvPr>
        <xdr:cNvSpPr txBox="1">
          <a:spLocks noChangeArrowheads="1"/>
        </xdr:cNvSpPr>
      </xdr:nvSpPr>
      <xdr:spPr bwMode="auto">
        <a:xfrm>
          <a:off x="1343025" y="1676400"/>
          <a:ext cx="0" cy="85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1219200</xdr:colOff>
      <xdr:row>30</xdr:row>
      <xdr:rowOff>0</xdr:rowOff>
    </xdr:from>
    <xdr:to>
      <xdr:col>3</xdr:col>
      <xdr:colOff>6817</xdr:colOff>
      <xdr:row>30</xdr:row>
      <xdr:rowOff>107156</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2181225" y="7629525"/>
          <a:ext cx="73025" cy="85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71438</xdr:colOff>
      <xdr:row>0</xdr:row>
      <xdr:rowOff>47626</xdr:rowOff>
    </xdr:from>
    <xdr:to>
      <xdr:col>13</xdr:col>
      <xdr:colOff>66330</xdr:colOff>
      <xdr:row>6</xdr:row>
      <xdr:rowOff>209378</xdr:rowOff>
    </xdr:to>
    <xdr:pic>
      <xdr:nvPicPr>
        <xdr:cNvPr id="3" name="図 2">
          <a:extLst>
            <a:ext uri="{FF2B5EF4-FFF2-40B4-BE49-F238E27FC236}">
              <a16:creationId xmlns:a16="http://schemas.microsoft.com/office/drawing/2014/main" id="{40087F12-C0D7-4AA7-B15E-82153A8B8BD4}"/>
            </a:ext>
          </a:extLst>
        </xdr:cNvPr>
        <xdr:cNvPicPr>
          <a:picLocks noChangeAspect="1"/>
        </xdr:cNvPicPr>
      </xdr:nvPicPr>
      <xdr:blipFill>
        <a:blip xmlns:r="http://schemas.openxmlformats.org/officeDocument/2006/relationships" r:embed="rId1"/>
        <a:stretch>
          <a:fillRect/>
        </a:stretch>
      </xdr:blipFill>
      <xdr:spPr>
        <a:xfrm>
          <a:off x="7747001" y="47626"/>
          <a:ext cx="3058767" cy="20535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106123</xdr:colOff>
      <xdr:row>0</xdr:row>
      <xdr:rowOff>0</xdr:rowOff>
    </xdr:from>
    <xdr:to>
      <xdr:col>15</xdr:col>
      <xdr:colOff>39687</xdr:colOff>
      <xdr:row>13</xdr:row>
      <xdr:rowOff>67395</xdr:rowOff>
    </xdr:to>
    <xdr:pic>
      <xdr:nvPicPr>
        <xdr:cNvPr id="2" name="図 1">
          <a:extLst>
            <a:ext uri="{FF2B5EF4-FFF2-40B4-BE49-F238E27FC236}">
              <a16:creationId xmlns:a16="http://schemas.microsoft.com/office/drawing/2014/main" id="{76095987-D2D9-4071-90D0-1FBC2FC100A5}"/>
            </a:ext>
          </a:extLst>
        </xdr:cNvPr>
        <xdr:cNvPicPr>
          <a:picLocks noChangeAspect="1"/>
        </xdr:cNvPicPr>
      </xdr:nvPicPr>
      <xdr:blipFill>
        <a:blip xmlns:r="http://schemas.openxmlformats.org/officeDocument/2006/relationships" r:embed="rId1"/>
        <a:stretch>
          <a:fillRect/>
        </a:stretch>
      </xdr:blipFill>
      <xdr:spPr>
        <a:xfrm>
          <a:off x="7781686" y="0"/>
          <a:ext cx="4362689" cy="31439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1219200</xdr:colOff>
      <xdr:row>14</xdr:row>
      <xdr:rowOff>0</xdr:rowOff>
    </xdr:from>
    <xdr:to>
      <xdr:col>2</xdr:col>
      <xdr:colOff>1304130</xdr:colOff>
      <xdr:row>14</xdr:row>
      <xdr:rowOff>82550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647950" y="5905500"/>
          <a:ext cx="76200" cy="85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1219200</xdr:colOff>
      <xdr:row>14</xdr:row>
      <xdr:rowOff>0</xdr:rowOff>
    </xdr:from>
    <xdr:to>
      <xdr:col>3</xdr:col>
      <xdr:colOff>87312</xdr:colOff>
      <xdr:row>14</xdr:row>
      <xdr:rowOff>82550</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2209800" y="4295775"/>
          <a:ext cx="73025" cy="85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1219200</xdr:colOff>
      <xdr:row>13</xdr:row>
      <xdr:rowOff>0</xdr:rowOff>
    </xdr:from>
    <xdr:to>
      <xdr:col>1</xdr:col>
      <xdr:colOff>1219200</xdr:colOff>
      <xdr:row>13</xdr:row>
      <xdr:rowOff>85725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343025" y="2466975"/>
          <a:ext cx="0" cy="85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47627</xdr:colOff>
      <xdr:row>1</xdr:row>
      <xdr:rowOff>220843</xdr:rowOff>
    </xdr:from>
    <xdr:to>
      <xdr:col>18</xdr:col>
      <xdr:colOff>119064</xdr:colOff>
      <xdr:row>15</xdr:row>
      <xdr:rowOff>58035</xdr:rowOff>
    </xdr:to>
    <xdr:pic>
      <xdr:nvPicPr>
        <xdr:cNvPr id="3" name="図 2">
          <a:extLst>
            <a:ext uri="{FF2B5EF4-FFF2-40B4-BE49-F238E27FC236}">
              <a16:creationId xmlns:a16="http://schemas.microsoft.com/office/drawing/2014/main" id="{F2B9AC3E-37A7-42F6-859A-A98A3D5DC55F}"/>
            </a:ext>
          </a:extLst>
        </xdr:cNvPr>
        <xdr:cNvPicPr>
          <a:picLocks noChangeAspect="1"/>
        </xdr:cNvPicPr>
      </xdr:nvPicPr>
      <xdr:blipFill>
        <a:blip xmlns:r="http://schemas.openxmlformats.org/officeDocument/2006/relationships" r:embed="rId1"/>
        <a:stretch>
          <a:fillRect/>
        </a:stretch>
      </xdr:blipFill>
      <xdr:spPr>
        <a:xfrm>
          <a:off x="9489283" y="387531"/>
          <a:ext cx="5238750" cy="35638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3C505-1016-4F85-B05C-FCC1B8328F81}">
  <sheetPr>
    <tabColor rgb="FFFF0000"/>
    <pageSetUpPr fitToPage="1"/>
  </sheetPr>
  <dimension ref="B1:T57"/>
  <sheetViews>
    <sheetView tabSelected="1" view="pageBreakPreview" topLeftCell="D1" zoomScaleNormal="70" zoomScaleSheetLayoutView="100" workbookViewId="0">
      <selection activeCell="B2" sqref="B2:M2"/>
    </sheetView>
  </sheetViews>
  <sheetFormatPr defaultColWidth="8.7265625" defaultRowHeight="13" outlineLevelCol="1" x14ac:dyDescent="0.2"/>
  <cols>
    <col min="1" max="1" width="1.6328125" style="13" customWidth="1"/>
    <col min="2" max="3" width="17.08984375" style="13" customWidth="1"/>
    <col min="4" max="4" width="20.08984375" style="13" customWidth="1"/>
    <col min="5" max="7" width="20.08984375" style="364" hidden="1" customWidth="1" outlineLevel="1"/>
    <col min="8" max="8" width="21.453125" style="287" customWidth="1" collapsed="1"/>
    <col min="9" max="9" width="11.6328125" style="14" customWidth="1"/>
    <col min="10" max="10" width="6" style="13" customWidth="1"/>
    <col min="11" max="11" width="6.08984375" style="15" customWidth="1"/>
    <col min="12" max="12" width="12.08984375" style="14" bestFit="1" customWidth="1"/>
    <col min="13" max="13" width="76.90625" style="13" customWidth="1"/>
    <col min="14" max="14" width="1.90625" style="13" customWidth="1"/>
    <col min="15" max="15" width="7.6328125" style="13" customWidth="1"/>
    <col min="16" max="16" width="7.6328125" style="13" bestFit="1" customWidth="1"/>
    <col min="17" max="17" width="3.7265625" style="13" bestFit="1" customWidth="1"/>
    <col min="18" max="18" width="12.453125" style="13" customWidth="1"/>
    <col min="19" max="19" width="12.08984375" style="13" customWidth="1"/>
    <col min="20" max="20" width="2.90625" style="13" bestFit="1" customWidth="1"/>
    <col min="21" max="16384" width="8.7265625" style="13"/>
  </cols>
  <sheetData>
    <row r="1" spans="2:19" s="1" customFormat="1" ht="25.5" customHeight="1" x14ac:dyDescent="0.2">
      <c r="B1" s="28" t="s">
        <v>573</v>
      </c>
      <c r="C1" s="28"/>
      <c r="E1" s="363"/>
      <c r="F1" s="363"/>
      <c r="G1" s="363"/>
      <c r="H1" s="369"/>
      <c r="I1" s="2"/>
      <c r="K1" s="3"/>
      <c r="L1" s="2"/>
      <c r="P1" s="13"/>
      <c r="Q1" s="13"/>
      <c r="R1" s="15"/>
      <c r="S1" s="15"/>
    </row>
    <row r="2" spans="2:19" ht="66.650000000000006" customHeight="1" x14ac:dyDescent="0.2">
      <c r="B2" s="393" t="s">
        <v>574</v>
      </c>
      <c r="C2" s="394"/>
      <c r="D2" s="394"/>
      <c r="E2" s="394"/>
      <c r="F2" s="394"/>
      <c r="G2" s="394"/>
      <c r="H2" s="394"/>
      <c r="I2" s="394"/>
      <c r="J2" s="394"/>
      <c r="K2" s="394"/>
      <c r="L2" s="394"/>
      <c r="M2" s="395"/>
    </row>
    <row r="3" spans="2:19" x14ac:dyDescent="0.2">
      <c r="M3" s="16"/>
    </row>
    <row r="4" spans="2:19" s="15" customFormat="1" ht="30" customHeight="1" x14ac:dyDescent="0.2">
      <c r="B4" s="23" t="s">
        <v>0</v>
      </c>
      <c r="C4" s="105"/>
      <c r="D4" s="23" t="s">
        <v>36</v>
      </c>
      <c r="E4" s="380" t="s">
        <v>547</v>
      </c>
      <c r="F4" s="380" t="s">
        <v>548</v>
      </c>
      <c r="G4" s="380" t="s">
        <v>549</v>
      </c>
      <c r="H4" s="23" t="s">
        <v>1</v>
      </c>
      <c r="I4" s="235" t="s">
        <v>541</v>
      </c>
      <c r="J4" s="23" t="s">
        <v>3</v>
      </c>
      <c r="K4" s="23" t="s">
        <v>4</v>
      </c>
      <c r="L4" s="235" t="s">
        <v>5</v>
      </c>
      <c r="M4" s="23" t="s">
        <v>6</v>
      </c>
      <c r="P4" s="13"/>
      <c r="Q4" s="13"/>
    </row>
    <row r="5" spans="2:19" ht="43.5" customHeight="1" x14ac:dyDescent="0.2">
      <c r="B5" s="397" t="s">
        <v>71</v>
      </c>
      <c r="C5" s="403" t="s">
        <v>546</v>
      </c>
      <c r="D5" s="396" t="s">
        <v>559</v>
      </c>
      <c r="E5" s="366" t="s">
        <v>554</v>
      </c>
      <c r="F5" s="366" t="s">
        <v>195</v>
      </c>
      <c r="G5" s="366"/>
      <c r="H5" s="362" t="s">
        <v>195</v>
      </c>
      <c r="I5" s="22"/>
      <c r="J5" s="326"/>
      <c r="K5" s="23" t="s">
        <v>11</v>
      </c>
      <c r="L5" s="22"/>
      <c r="M5" s="221"/>
    </row>
    <row r="6" spans="2:19" ht="48" customHeight="1" x14ac:dyDescent="0.2">
      <c r="B6" s="398"/>
      <c r="C6" s="404"/>
      <c r="D6" s="396"/>
      <c r="E6" s="366" t="s">
        <v>554</v>
      </c>
      <c r="F6" s="366" t="s">
        <v>9</v>
      </c>
      <c r="G6" s="366"/>
      <c r="H6" s="362" t="s">
        <v>9</v>
      </c>
      <c r="I6" s="22"/>
      <c r="J6" s="326"/>
      <c r="K6" s="23" t="s">
        <v>11</v>
      </c>
      <c r="L6" s="22"/>
      <c r="M6" s="221"/>
    </row>
    <row r="7" spans="2:19" ht="72.650000000000006" customHeight="1" x14ac:dyDescent="0.2">
      <c r="B7" s="398"/>
      <c r="C7" s="404"/>
      <c r="D7" s="396"/>
      <c r="E7" s="366" t="s">
        <v>554</v>
      </c>
      <c r="F7" s="366" t="s">
        <v>7</v>
      </c>
      <c r="G7" s="366"/>
      <c r="H7" s="362" t="s">
        <v>7</v>
      </c>
      <c r="I7" s="22"/>
      <c r="J7" s="326"/>
      <c r="K7" s="23" t="s">
        <v>11</v>
      </c>
      <c r="L7" s="22"/>
      <c r="M7" s="221"/>
    </row>
    <row r="8" spans="2:19" ht="30" customHeight="1" x14ac:dyDescent="0.2">
      <c r="B8" s="398"/>
      <c r="C8" s="404"/>
      <c r="D8" s="400" t="s">
        <v>568</v>
      </c>
      <c r="E8" s="366"/>
      <c r="F8" s="366"/>
      <c r="G8" s="366"/>
      <c r="H8" s="362" t="s">
        <v>8</v>
      </c>
      <c r="I8" s="22"/>
      <c r="J8" s="326"/>
      <c r="K8" s="23" t="s">
        <v>569</v>
      </c>
      <c r="L8" s="22"/>
      <c r="M8" s="221"/>
    </row>
    <row r="9" spans="2:19" ht="30" customHeight="1" x14ac:dyDescent="0.2">
      <c r="B9" s="398"/>
      <c r="C9" s="404"/>
      <c r="D9" s="401"/>
      <c r="E9" s="366" t="s">
        <v>554</v>
      </c>
      <c r="F9" s="366" t="s">
        <v>195</v>
      </c>
      <c r="G9" s="366"/>
      <c r="H9" s="362" t="s">
        <v>195</v>
      </c>
      <c r="I9" s="22"/>
      <c r="J9" s="326"/>
      <c r="K9" s="23" t="s">
        <v>11</v>
      </c>
      <c r="L9" s="22"/>
      <c r="M9" s="90"/>
    </row>
    <row r="10" spans="2:19" ht="30" customHeight="1" x14ac:dyDescent="0.2">
      <c r="B10" s="398"/>
      <c r="C10" s="404"/>
      <c r="D10" s="401"/>
      <c r="E10" s="366" t="s">
        <v>554</v>
      </c>
      <c r="F10" s="366" t="s">
        <v>9</v>
      </c>
      <c r="G10" s="366"/>
      <c r="H10" s="362" t="s">
        <v>9</v>
      </c>
      <c r="I10" s="22"/>
      <c r="J10" s="326"/>
      <c r="K10" s="23" t="s">
        <v>11</v>
      </c>
      <c r="L10" s="22"/>
      <c r="M10" s="90"/>
      <c r="R10" s="14"/>
    </row>
    <row r="11" spans="2:19" ht="30" customHeight="1" x14ac:dyDescent="0.2">
      <c r="B11" s="398"/>
      <c r="C11" s="404"/>
      <c r="D11" s="402"/>
      <c r="E11" s="366" t="s">
        <v>554</v>
      </c>
      <c r="F11" s="366" t="s">
        <v>7</v>
      </c>
      <c r="G11" s="366"/>
      <c r="H11" s="362" t="s">
        <v>7</v>
      </c>
      <c r="I11" s="22"/>
      <c r="J11" s="326"/>
      <c r="K11" s="23" t="s">
        <v>11</v>
      </c>
      <c r="L11" s="22"/>
      <c r="M11" s="90"/>
    </row>
    <row r="12" spans="2:19" ht="30" customHeight="1" x14ac:dyDescent="0.2">
      <c r="B12" s="398"/>
      <c r="C12" s="404"/>
      <c r="D12" s="400" t="s">
        <v>572</v>
      </c>
      <c r="E12" s="382"/>
      <c r="F12" s="382"/>
      <c r="G12" s="382"/>
      <c r="H12" s="362" t="s">
        <v>9</v>
      </c>
      <c r="I12" s="22"/>
      <c r="J12" s="326"/>
      <c r="K12" s="23" t="s">
        <v>11</v>
      </c>
      <c r="L12" s="22"/>
      <c r="M12" s="90"/>
    </row>
    <row r="13" spans="2:19" ht="30" customHeight="1" x14ac:dyDescent="0.2">
      <c r="B13" s="398"/>
      <c r="C13" s="405"/>
      <c r="D13" s="402"/>
      <c r="E13" s="382"/>
      <c r="F13" s="382"/>
      <c r="G13" s="382"/>
      <c r="H13" s="362" t="s">
        <v>575</v>
      </c>
      <c r="I13" s="22"/>
      <c r="J13" s="326"/>
      <c r="K13" s="23" t="s">
        <v>11</v>
      </c>
      <c r="L13" s="22"/>
      <c r="M13" s="90"/>
    </row>
    <row r="14" spans="2:19" ht="30" customHeight="1" x14ac:dyDescent="0.2">
      <c r="B14" s="398"/>
      <c r="C14" s="384" t="s">
        <v>10</v>
      </c>
      <c r="D14" s="385"/>
      <c r="E14" s="385"/>
      <c r="F14" s="385"/>
      <c r="G14" s="385"/>
      <c r="H14" s="385"/>
      <c r="I14" s="385"/>
      <c r="J14" s="385"/>
      <c r="K14" s="280"/>
      <c r="L14" s="22"/>
      <c r="M14" s="21"/>
    </row>
    <row r="15" spans="2:19" ht="30" customHeight="1" x14ac:dyDescent="0.2">
      <c r="B15" s="398"/>
      <c r="C15" s="21" t="s">
        <v>560</v>
      </c>
      <c r="D15" s="21"/>
      <c r="E15" s="368"/>
      <c r="F15" s="368"/>
      <c r="G15" s="368"/>
      <c r="H15" s="91" t="s">
        <v>443</v>
      </c>
      <c r="I15" s="22">
        <f>L14*0.05</f>
        <v>0</v>
      </c>
      <c r="J15" s="327">
        <v>1</v>
      </c>
      <c r="K15" s="23" t="s">
        <v>66</v>
      </c>
      <c r="L15" s="22"/>
      <c r="M15" s="221"/>
      <c r="R15" s="367"/>
      <c r="S15" s="298"/>
    </row>
    <row r="16" spans="2:19" ht="30" customHeight="1" x14ac:dyDescent="0.2">
      <c r="B16" s="398"/>
      <c r="C16" s="387" t="s">
        <v>10</v>
      </c>
      <c r="D16" s="388"/>
      <c r="E16" s="388"/>
      <c r="F16" s="388"/>
      <c r="G16" s="388"/>
      <c r="H16" s="388"/>
      <c r="I16" s="388"/>
      <c r="J16" s="388"/>
      <c r="K16" s="389"/>
      <c r="L16" s="22"/>
      <c r="M16" s="377"/>
    </row>
    <row r="17" spans="2:20" ht="38.15" customHeight="1" x14ac:dyDescent="0.2">
      <c r="B17" s="398"/>
      <c r="C17" s="400" t="s">
        <v>447</v>
      </c>
      <c r="D17" s="90" t="s">
        <v>571</v>
      </c>
      <c r="E17" s="365" t="s">
        <v>459</v>
      </c>
      <c r="F17" s="365" t="s">
        <v>195</v>
      </c>
      <c r="G17" s="365"/>
      <c r="H17" s="90" t="s">
        <v>195</v>
      </c>
      <c r="I17" s="22"/>
      <c r="J17" s="327"/>
      <c r="K17" s="23" t="s">
        <v>557</v>
      </c>
      <c r="L17" s="22"/>
      <c r="M17" s="221"/>
    </row>
    <row r="18" spans="2:20" ht="34" customHeight="1" x14ac:dyDescent="0.2">
      <c r="B18" s="398"/>
      <c r="C18" s="401"/>
      <c r="D18" s="90" t="s">
        <v>571</v>
      </c>
      <c r="E18" s="365" t="s">
        <v>459</v>
      </c>
      <c r="F18" s="365" t="s">
        <v>9</v>
      </c>
      <c r="G18" s="365"/>
      <c r="H18" s="90" t="s">
        <v>9</v>
      </c>
      <c r="I18" s="22"/>
      <c r="J18" s="327"/>
      <c r="K18" s="23" t="s">
        <v>557</v>
      </c>
      <c r="L18" s="22"/>
      <c r="M18" s="221"/>
    </row>
    <row r="19" spans="2:20" ht="40.5" customHeight="1" x14ac:dyDescent="0.2">
      <c r="B19" s="398"/>
      <c r="C19" s="401"/>
      <c r="D19" s="90" t="s">
        <v>571</v>
      </c>
      <c r="E19" s="365" t="s">
        <v>459</v>
      </c>
      <c r="F19" s="365" t="s">
        <v>7</v>
      </c>
      <c r="G19" s="365"/>
      <c r="H19" s="90" t="s">
        <v>7</v>
      </c>
      <c r="I19" s="22"/>
      <c r="J19" s="327"/>
      <c r="K19" s="23" t="s">
        <v>557</v>
      </c>
      <c r="L19" s="22"/>
      <c r="M19" s="221"/>
    </row>
    <row r="20" spans="2:20" ht="30" customHeight="1" x14ac:dyDescent="0.2">
      <c r="B20" s="398"/>
      <c r="C20" s="401"/>
      <c r="D20" s="90" t="s">
        <v>550</v>
      </c>
      <c r="E20" s="365" t="s">
        <v>85</v>
      </c>
      <c r="F20" s="365" t="s">
        <v>195</v>
      </c>
      <c r="G20" s="365" t="s">
        <v>542</v>
      </c>
      <c r="H20" s="90" t="s">
        <v>195</v>
      </c>
      <c r="I20" s="22"/>
      <c r="J20" s="327"/>
      <c r="K20" s="23" t="s">
        <v>558</v>
      </c>
      <c r="L20" s="22"/>
      <c r="M20" s="221"/>
    </row>
    <row r="21" spans="2:20" ht="30" customHeight="1" x14ac:dyDescent="0.2">
      <c r="B21" s="398"/>
      <c r="C21" s="401"/>
      <c r="D21" s="90" t="s">
        <v>550</v>
      </c>
      <c r="E21" s="365" t="s">
        <v>85</v>
      </c>
      <c r="F21" s="365" t="s">
        <v>9</v>
      </c>
      <c r="G21" s="365" t="s">
        <v>542</v>
      </c>
      <c r="H21" s="90" t="s">
        <v>9</v>
      </c>
      <c r="I21" s="22"/>
      <c r="J21" s="327"/>
      <c r="K21" s="23" t="s">
        <v>558</v>
      </c>
      <c r="L21" s="22"/>
      <c r="M21" s="221"/>
    </row>
    <row r="22" spans="2:20" ht="30" customHeight="1" x14ac:dyDescent="0.2">
      <c r="B22" s="398"/>
      <c r="C22" s="401"/>
      <c r="D22" s="90" t="s">
        <v>550</v>
      </c>
      <c r="E22" s="365" t="s">
        <v>85</v>
      </c>
      <c r="F22" s="365" t="s">
        <v>7</v>
      </c>
      <c r="G22" s="365" t="s">
        <v>542</v>
      </c>
      <c r="H22" s="90" t="s">
        <v>7</v>
      </c>
      <c r="I22" s="22"/>
      <c r="J22" s="327"/>
      <c r="K22" s="23" t="s">
        <v>558</v>
      </c>
      <c r="L22" s="22"/>
      <c r="M22" s="221"/>
    </row>
    <row r="23" spans="2:20" ht="140.15" customHeight="1" x14ac:dyDescent="0.2">
      <c r="B23" s="398"/>
      <c r="C23" s="401"/>
      <c r="D23" s="90" t="s">
        <v>551</v>
      </c>
      <c r="E23" s="365" t="s">
        <v>543</v>
      </c>
      <c r="F23" s="365" t="s">
        <v>544</v>
      </c>
      <c r="G23" s="365"/>
      <c r="H23" s="90"/>
      <c r="I23" s="22"/>
      <c r="J23" s="327"/>
      <c r="K23" s="23" t="s">
        <v>562</v>
      </c>
      <c r="L23" s="22"/>
      <c r="M23" s="377"/>
    </row>
    <row r="24" spans="2:20" ht="64" customHeight="1" x14ac:dyDescent="0.2">
      <c r="B24" s="398"/>
      <c r="C24" s="401"/>
      <c r="D24" s="90" t="s">
        <v>552</v>
      </c>
      <c r="E24" s="365" t="s">
        <v>555</v>
      </c>
      <c r="F24" s="365" t="s">
        <v>545</v>
      </c>
      <c r="G24" s="365" t="s">
        <v>567</v>
      </c>
      <c r="H24" s="90"/>
      <c r="I24" s="22"/>
      <c r="J24" s="327"/>
      <c r="K24" s="23" t="s">
        <v>563</v>
      </c>
      <c r="L24" s="22"/>
      <c r="M24" s="377"/>
    </row>
    <row r="25" spans="2:20" ht="30" customHeight="1" x14ac:dyDescent="0.2">
      <c r="B25" s="398"/>
      <c r="C25" s="401"/>
      <c r="D25" s="90" t="s">
        <v>553</v>
      </c>
      <c r="E25" s="365" t="s">
        <v>556</v>
      </c>
      <c r="F25" s="365" t="s">
        <v>561</v>
      </c>
      <c r="G25" s="365"/>
      <c r="H25" s="381" t="s">
        <v>570</v>
      </c>
      <c r="I25" s="22"/>
      <c r="J25" s="327"/>
      <c r="K25" s="23" t="s">
        <v>566</v>
      </c>
      <c r="L25" s="22"/>
      <c r="M25" s="377"/>
    </row>
    <row r="26" spans="2:20" ht="30" customHeight="1" x14ac:dyDescent="0.2">
      <c r="B26" s="399"/>
      <c r="C26" s="387" t="s">
        <v>564</v>
      </c>
      <c r="D26" s="388"/>
      <c r="E26" s="388"/>
      <c r="F26" s="388"/>
      <c r="G26" s="388"/>
      <c r="H26" s="388"/>
      <c r="I26" s="388"/>
      <c r="J26" s="388"/>
      <c r="K26" s="389"/>
      <c r="L26" s="308"/>
      <c r="M26" s="374"/>
    </row>
    <row r="27" spans="2:20" ht="30" customHeight="1" x14ac:dyDescent="0.2">
      <c r="B27" s="390" t="s">
        <v>565</v>
      </c>
      <c r="C27" s="391"/>
      <c r="D27" s="391"/>
      <c r="E27" s="391"/>
      <c r="F27" s="391"/>
      <c r="G27" s="391"/>
      <c r="H27" s="391"/>
      <c r="I27" s="391"/>
      <c r="J27" s="391"/>
      <c r="K27" s="392"/>
      <c r="L27" s="308"/>
      <c r="M27" s="374"/>
    </row>
    <row r="28" spans="2:20" ht="30" customHeight="1" x14ac:dyDescent="0.2">
      <c r="B28" s="384" t="s">
        <v>12</v>
      </c>
      <c r="C28" s="385"/>
      <c r="D28" s="385"/>
      <c r="E28" s="385"/>
      <c r="F28" s="385"/>
      <c r="G28" s="385"/>
      <c r="H28" s="385"/>
      <c r="I28" s="385"/>
      <c r="J28" s="385"/>
      <c r="K28" s="386"/>
      <c r="L28" s="22"/>
      <c r="M28" s="375"/>
      <c r="O28" s="376">
        <v>0.5</v>
      </c>
    </row>
    <row r="29" spans="2:20" ht="30" customHeight="1" x14ac:dyDescent="0.2">
      <c r="B29" s="384" t="s">
        <v>24</v>
      </c>
      <c r="C29" s="385"/>
      <c r="D29" s="385"/>
      <c r="E29" s="385"/>
      <c r="F29" s="385"/>
      <c r="G29" s="385"/>
      <c r="H29" s="385"/>
      <c r="I29" s="385"/>
      <c r="J29" s="385"/>
      <c r="K29" s="386"/>
      <c r="L29" s="299"/>
      <c r="M29" s="378"/>
    </row>
    <row r="30" spans="2:20" ht="30" customHeight="1" x14ac:dyDescent="0.2">
      <c r="B30" s="384" t="s">
        <v>13</v>
      </c>
      <c r="C30" s="385"/>
      <c r="D30" s="385"/>
      <c r="E30" s="385"/>
      <c r="F30" s="385"/>
      <c r="G30" s="385"/>
      <c r="H30" s="385"/>
      <c r="I30" s="385"/>
      <c r="J30" s="385"/>
      <c r="K30" s="386"/>
      <c r="L30" s="299">
        <f>L29*0.1</f>
        <v>0</v>
      </c>
      <c r="M30" s="379"/>
      <c r="R30" s="340"/>
      <c r="S30" s="15"/>
      <c r="T30" s="15"/>
    </row>
    <row r="31" spans="2:20" ht="30" customHeight="1" x14ac:dyDescent="0.2">
      <c r="B31" s="384" t="s">
        <v>20</v>
      </c>
      <c r="C31" s="385"/>
      <c r="D31" s="385"/>
      <c r="E31" s="385"/>
      <c r="F31" s="385"/>
      <c r="G31" s="385"/>
      <c r="H31" s="385"/>
      <c r="I31" s="385"/>
      <c r="J31" s="385"/>
      <c r="K31" s="386"/>
      <c r="L31" s="22">
        <f>SUM(L29:L30)</f>
        <v>0</v>
      </c>
      <c r="M31" s="21"/>
      <c r="R31" s="342"/>
      <c r="S31" s="343"/>
      <c r="T31" s="24"/>
    </row>
    <row r="32" spans="2:20" ht="30" customHeight="1" x14ac:dyDescent="0.2">
      <c r="R32" s="342"/>
      <c r="S32" s="343"/>
      <c r="T32" s="338"/>
    </row>
    <row r="33" spans="2:10" ht="30" customHeight="1" x14ac:dyDescent="0.2">
      <c r="B33" s="383" t="s">
        <v>576</v>
      </c>
      <c r="C33" s="274"/>
      <c r="D33"/>
      <c r="E33"/>
      <c r="F33" s="4"/>
      <c r="G33"/>
      <c r="H33" s="5"/>
    </row>
    <row r="34" spans="2:10" ht="30" customHeight="1" x14ac:dyDescent="0.2">
      <c r="B34" s="238" t="s">
        <v>577</v>
      </c>
      <c r="C34"/>
      <c r="D34"/>
      <c r="E34"/>
      <c r="F34" s="4"/>
      <c r="G34"/>
      <c r="H34" s="5"/>
    </row>
    <row r="35" spans="2:10" ht="30" customHeight="1" x14ac:dyDescent="0.2"/>
    <row r="36" spans="2:10" ht="30" customHeight="1" x14ac:dyDescent="0.2"/>
    <row r="37" spans="2:10" ht="30" customHeight="1" x14ac:dyDescent="0.2"/>
    <row r="38" spans="2:10" ht="30" customHeight="1" x14ac:dyDescent="0.2"/>
    <row r="39" spans="2:10" ht="30" customHeight="1" x14ac:dyDescent="0.2"/>
    <row r="40" spans="2:10" ht="30" customHeight="1" x14ac:dyDescent="0.2"/>
    <row r="41" spans="2:10" ht="30" customHeight="1" x14ac:dyDescent="0.2"/>
    <row r="42" spans="2:10" ht="30" customHeight="1" x14ac:dyDescent="0.2"/>
    <row r="43" spans="2:10" ht="30" customHeight="1" x14ac:dyDescent="0.2"/>
    <row r="44" spans="2:10" ht="30" customHeight="1" x14ac:dyDescent="0.2"/>
    <row r="45" spans="2:10" ht="30" customHeight="1" x14ac:dyDescent="0.2"/>
    <row r="46" spans="2:10" ht="135.65" customHeight="1" x14ac:dyDescent="0.2">
      <c r="H46" s="370"/>
    </row>
    <row r="47" spans="2:10" ht="30" customHeight="1" x14ac:dyDescent="0.2">
      <c r="B47" s="16"/>
      <c r="C47" s="16"/>
      <c r="H47" s="371"/>
      <c r="I47" s="278"/>
      <c r="J47" s="279"/>
    </row>
    <row r="48" spans="2:10" ht="30" customHeight="1" x14ac:dyDescent="0.2">
      <c r="B48" s="16"/>
      <c r="C48" s="16"/>
      <c r="H48" s="370"/>
      <c r="I48" s="13"/>
    </row>
    <row r="49" spans="2:9" ht="30" customHeight="1" x14ac:dyDescent="0.2">
      <c r="H49" s="372"/>
      <c r="I49" s="13"/>
    </row>
    <row r="50" spans="2:9" ht="30" customHeight="1" x14ac:dyDescent="0.2">
      <c r="H50" s="373"/>
      <c r="I50" s="13"/>
    </row>
    <row r="51" spans="2:9" ht="30" customHeight="1" x14ac:dyDescent="0.2">
      <c r="H51" s="370"/>
      <c r="I51" s="348"/>
    </row>
    <row r="52" spans="2:9" ht="30" customHeight="1" x14ac:dyDescent="0.2">
      <c r="B52" s="14"/>
      <c r="C52" s="14"/>
      <c r="H52" s="372"/>
      <c r="I52" s="13"/>
    </row>
    <row r="53" spans="2:9" ht="30" customHeight="1" x14ac:dyDescent="0.2"/>
    <row r="54" spans="2:9" ht="30" customHeight="1" x14ac:dyDescent="0.2"/>
    <row r="55" spans="2:9" ht="30" customHeight="1" x14ac:dyDescent="0.2"/>
    <row r="56" spans="2:9" ht="30" customHeight="1" x14ac:dyDescent="0.2"/>
    <row r="57" spans="2:9" ht="30" customHeight="1" x14ac:dyDescent="0.2"/>
  </sheetData>
  <mergeCells count="15">
    <mergeCell ref="B2:M2"/>
    <mergeCell ref="D5:D7"/>
    <mergeCell ref="B5:B26"/>
    <mergeCell ref="C16:K16"/>
    <mergeCell ref="C17:C25"/>
    <mergeCell ref="D8:D11"/>
    <mergeCell ref="C5:C13"/>
    <mergeCell ref="D12:D13"/>
    <mergeCell ref="C14:J14"/>
    <mergeCell ref="B28:K28"/>
    <mergeCell ref="B29:K29"/>
    <mergeCell ref="B31:K31"/>
    <mergeCell ref="B30:K30"/>
    <mergeCell ref="C26:K26"/>
    <mergeCell ref="B27:K27"/>
  </mergeCells>
  <phoneticPr fontId="7"/>
  <pageMargins left="0.6692913385826772" right="0.19685039370078741" top="1.6929133858267718" bottom="0.98425196850393704" header="0.51181102362204722" footer="0.51181102362204722"/>
  <pageSetup paperSize="9" scale="5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B2:P9"/>
  <sheetViews>
    <sheetView workbookViewId="0"/>
  </sheetViews>
  <sheetFormatPr defaultColWidth="9" defaultRowHeight="13" x14ac:dyDescent="0.2"/>
  <cols>
    <col min="1" max="1" width="1.6328125" style="13" customWidth="1"/>
    <col min="2" max="2" width="12.90625" style="13" customWidth="1"/>
    <col min="3" max="3" width="20.08984375" style="13" customWidth="1"/>
    <col min="4" max="4" width="15.08984375" style="13" bestFit="1" customWidth="1"/>
    <col min="5" max="5" width="9.90625" style="14" bestFit="1" customWidth="1"/>
    <col min="6" max="6" width="5.90625" style="13" customWidth="1"/>
    <col min="7" max="7" width="6.08984375" style="15" customWidth="1"/>
    <col min="8" max="8" width="10.90625" style="14" customWidth="1"/>
    <col min="9" max="9" width="28.36328125" style="13" bestFit="1" customWidth="1"/>
    <col min="10" max="10" width="1.90625" style="13" customWidth="1"/>
    <col min="11" max="11" width="11.08984375" bestFit="1" customWidth="1"/>
    <col min="12" max="12" width="13.36328125" customWidth="1"/>
    <col min="17" max="16384" width="9" style="13"/>
  </cols>
  <sheetData>
    <row r="2" spans="2:16" s="1" customFormat="1" ht="25.5" customHeight="1" x14ac:dyDescent="0.2">
      <c r="B2" s="27" t="s">
        <v>63</v>
      </c>
      <c r="E2" s="2"/>
      <c r="G2" s="13"/>
      <c r="H2" s="2"/>
      <c r="K2"/>
      <c r="L2"/>
      <c r="M2"/>
      <c r="N2"/>
      <c r="O2"/>
      <c r="P2"/>
    </row>
    <row r="3" spans="2:16" ht="13.5" thickBot="1" x14ac:dyDescent="0.25">
      <c r="I3" s="16"/>
    </row>
    <row r="4" spans="2:16" s="15" customFormat="1" ht="23.25" customHeight="1" x14ac:dyDescent="0.2">
      <c r="B4" s="17" t="s">
        <v>0</v>
      </c>
      <c r="C4" s="18" t="s">
        <v>36</v>
      </c>
      <c r="D4" s="18" t="s">
        <v>1</v>
      </c>
      <c r="E4" s="19" t="s">
        <v>2</v>
      </c>
      <c r="F4" s="18" t="s">
        <v>3</v>
      </c>
      <c r="G4" s="18" t="s">
        <v>4</v>
      </c>
      <c r="H4" s="19" t="s">
        <v>5</v>
      </c>
      <c r="I4" s="20" t="s">
        <v>6</v>
      </c>
      <c r="K4"/>
      <c r="L4"/>
      <c r="M4"/>
      <c r="N4"/>
      <c r="O4"/>
      <c r="P4"/>
    </row>
    <row r="5" spans="2:16" ht="45.75" customHeight="1" x14ac:dyDescent="0.2">
      <c r="B5" s="522" t="s">
        <v>64</v>
      </c>
      <c r="C5" s="90" t="s">
        <v>39</v>
      </c>
      <c r="D5" s="90" t="s">
        <v>67</v>
      </c>
      <c r="E5" s="22">
        <f>単価!E18</f>
        <v>8380</v>
      </c>
      <c r="F5" s="21">
        <v>2</v>
      </c>
      <c r="G5" s="23" t="s">
        <v>34</v>
      </c>
      <c r="H5" s="22">
        <f>E5*F5</f>
        <v>16760</v>
      </c>
      <c r="I5" s="50" t="s">
        <v>511</v>
      </c>
    </row>
    <row r="6" spans="2:16" ht="45.75" customHeight="1" x14ac:dyDescent="0.2">
      <c r="B6" s="535"/>
      <c r="C6" s="90" t="s">
        <v>473</v>
      </c>
      <c r="D6" s="224"/>
      <c r="E6" s="212">
        <f>4340+65900+22000</f>
        <v>92240</v>
      </c>
      <c r="F6" s="213">
        <v>1</v>
      </c>
      <c r="G6" s="214" t="s">
        <v>472</v>
      </c>
      <c r="H6" s="212">
        <f>E6*F6</f>
        <v>92240</v>
      </c>
      <c r="I6" s="225"/>
    </row>
    <row r="7" spans="2:16" ht="23.25" customHeight="1" x14ac:dyDescent="0.2">
      <c r="B7" s="23" t="s">
        <v>24</v>
      </c>
      <c r="C7" s="21"/>
      <c r="D7" s="21"/>
      <c r="E7" s="22"/>
      <c r="F7" s="21"/>
      <c r="G7" s="23"/>
      <c r="H7" s="22">
        <f>SUM(H5:H6)</f>
        <v>109000</v>
      </c>
      <c r="I7" s="21"/>
    </row>
    <row r="8" spans="2:16" ht="23.25" customHeight="1" x14ac:dyDescent="0.2"/>
    <row r="9" spans="2:16" x14ac:dyDescent="0.2">
      <c r="C9"/>
    </row>
  </sheetData>
  <mergeCells count="1">
    <mergeCell ref="B5:B6"/>
  </mergeCells>
  <phoneticPr fontId="7"/>
  <pageMargins left="0.67" right="0.18" top="1.7" bottom="0.98425196850393704"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B2:N19"/>
  <sheetViews>
    <sheetView workbookViewId="0"/>
  </sheetViews>
  <sheetFormatPr defaultColWidth="9" defaultRowHeight="13" x14ac:dyDescent="0.2"/>
  <cols>
    <col min="1" max="1" width="1.6328125" style="13" customWidth="1"/>
    <col min="2" max="2" width="12.90625" style="13" customWidth="1"/>
    <col min="3" max="3" width="15.08984375" style="13" bestFit="1" customWidth="1"/>
    <col min="4" max="4" width="11" style="14" bestFit="1" customWidth="1"/>
    <col min="5" max="5" width="5.90625" style="13" customWidth="1"/>
    <col min="6" max="6" width="6.08984375" style="15" customWidth="1"/>
    <col min="7" max="7" width="10.90625" style="14" customWidth="1"/>
    <col min="8" max="8" width="31.90625" style="13" customWidth="1"/>
    <col min="9" max="9" width="1.90625" style="13" customWidth="1"/>
    <col min="10" max="10" width="11.08984375" style="13" bestFit="1" customWidth="1"/>
    <col min="11" max="11" width="13.453125" style="13" customWidth="1"/>
    <col min="12" max="16384" width="9" style="13"/>
  </cols>
  <sheetData>
    <row r="2" spans="2:14" s="1" customFormat="1" ht="16.5" x14ac:dyDescent="0.2">
      <c r="B2" s="27" t="s">
        <v>124</v>
      </c>
      <c r="D2" s="2"/>
      <c r="F2" s="3"/>
      <c r="G2" s="2"/>
    </row>
    <row r="3" spans="2:14" x14ac:dyDescent="0.2">
      <c r="H3" s="16"/>
    </row>
    <row r="4" spans="2:14" s="15" customFormat="1" ht="20.25" customHeight="1" x14ac:dyDescent="0.2">
      <c r="B4" s="23" t="s">
        <v>0</v>
      </c>
      <c r="C4" s="23" t="s">
        <v>1</v>
      </c>
      <c r="D4" s="235" t="s">
        <v>2</v>
      </c>
      <c r="E4" s="23" t="s">
        <v>3</v>
      </c>
      <c r="F4" s="23" t="s">
        <v>4</v>
      </c>
      <c r="G4" s="235" t="s">
        <v>5</v>
      </c>
      <c r="H4" s="23" t="s">
        <v>6</v>
      </c>
    </row>
    <row r="5" spans="2:14" ht="44.25" customHeight="1" x14ac:dyDescent="0.2">
      <c r="B5" s="500" t="s">
        <v>197</v>
      </c>
      <c r="C5" s="21" t="s">
        <v>436</v>
      </c>
      <c r="D5" s="22">
        <f>単価!E14</f>
        <v>10640</v>
      </c>
      <c r="E5" s="21">
        <v>5</v>
      </c>
      <c r="F5" s="23" t="s">
        <v>34</v>
      </c>
      <c r="G5" s="22">
        <f>+D5*E5</f>
        <v>53200</v>
      </c>
      <c r="H5" s="236" t="str">
        <f>単価!G14</f>
        <v>丸太町～宮津（往復）→宮津市役所</v>
      </c>
      <c r="L5" s="14"/>
    </row>
    <row r="6" spans="2:14" ht="44.25" customHeight="1" x14ac:dyDescent="0.2">
      <c r="B6" s="501"/>
      <c r="C6" s="21" t="s">
        <v>436</v>
      </c>
      <c r="D6" s="22">
        <f>単価!E15</f>
        <v>8260</v>
      </c>
      <c r="E6" s="21">
        <v>5</v>
      </c>
      <c r="F6" s="23" t="s">
        <v>34</v>
      </c>
      <c r="G6" s="22">
        <f>+D6*E6</f>
        <v>41300</v>
      </c>
      <c r="H6" s="236" t="str">
        <f>単価!G15</f>
        <v>丸太町～東舞鶴（往復）→舞鶴市役所</v>
      </c>
      <c r="L6" s="14"/>
    </row>
    <row r="7" spans="2:14" ht="44.25" customHeight="1" x14ac:dyDescent="0.2">
      <c r="B7" s="502"/>
      <c r="C7" s="21" t="s">
        <v>507</v>
      </c>
      <c r="D7" s="22">
        <f>8360+8140</f>
        <v>16500</v>
      </c>
      <c r="E7" s="21">
        <v>1</v>
      </c>
      <c r="F7" s="23" t="s">
        <v>505</v>
      </c>
      <c r="G7" s="22">
        <f>+D7*E7</f>
        <v>16500</v>
      </c>
      <c r="H7" s="236" t="s">
        <v>506</v>
      </c>
      <c r="L7" s="14"/>
    </row>
    <row r="8" spans="2:14" ht="22.5" customHeight="1" x14ac:dyDescent="0.2">
      <c r="B8" s="23" t="s">
        <v>24</v>
      </c>
      <c r="C8" s="21"/>
      <c r="D8" s="22"/>
      <c r="E8" s="21"/>
      <c r="F8" s="23"/>
      <c r="G8" s="22">
        <f>SUM(G5:G7)</f>
        <v>111000</v>
      </c>
      <c r="H8" s="21"/>
      <c r="J8" s="14"/>
      <c r="K8" s="26"/>
      <c r="L8" s="26"/>
      <c r="M8" s="24"/>
    </row>
    <row r="9" spans="2:14" ht="40.5" customHeight="1" x14ac:dyDescent="0.2">
      <c r="B9" s="238"/>
      <c r="K9" s="14"/>
      <c r="L9" s="24"/>
    </row>
    <row r="10" spans="2:14" x14ac:dyDescent="0.2">
      <c r="L10" s="24"/>
    </row>
    <row r="11" spans="2:14" x14ac:dyDescent="0.2">
      <c r="L11" s="24"/>
    </row>
    <row r="12" spans="2:14" x14ac:dyDescent="0.2">
      <c r="L12" s="25"/>
      <c r="M12" s="25"/>
      <c r="N12" s="25"/>
    </row>
    <row r="19" spans="11:11" x14ac:dyDescent="0.2">
      <c r="K19" s="14"/>
    </row>
  </sheetData>
  <mergeCells count="1">
    <mergeCell ref="B5:B7"/>
  </mergeCells>
  <phoneticPr fontId="7"/>
  <pageMargins left="0.7" right="0.7" top="0.75" bottom="0.75" header="0.3" footer="0.3"/>
  <pageSetup paperSize="9" scale="8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O35"/>
  <sheetViews>
    <sheetView workbookViewId="0"/>
  </sheetViews>
  <sheetFormatPr defaultColWidth="9" defaultRowHeight="13" x14ac:dyDescent="0.2"/>
  <cols>
    <col min="1" max="1" width="1.6328125" customWidth="1"/>
    <col min="2" max="2" width="17.08984375" customWidth="1"/>
    <col min="3" max="3" width="20.08984375" customWidth="1"/>
    <col min="4" max="4" width="15.08984375" bestFit="1" customWidth="1"/>
    <col min="5" max="5" width="9.90625" style="4" bestFit="1" customWidth="1"/>
    <col min="6" max="6" width="6" customWidth="1"/>
    <col min="7" max="7" width="6.08984375" style="5" customWidth="1"/>
    <col min="8" max="8" width="12.08984375" style="4" bestFit="1" customWidth="1"/>
    <col min="9" max="9" width="64.453125" customWidth="1"/>
    <col min="10" max="10" width="1.90625" customWidth="1"/>
    <col min="11" max="11" width="19.08984375" customWidth="1"/>
    <col min="12" max="12" width="15.08984375" bestFit="1" customWidth="1"/>
    <col min="13" max="13" width="12.453125" customWidth="1"/>
    <col min="14" max="14" width="11.90625" customWidth="1"/>
    <col min="15" max="15" width="14" customWidth="1"/>
  </cols>
  <sheetData>
    <row r="1" spans="2:15" s="1" customFormat="1" ht="25.5" customHeight="1" x14ac:dyDescent="0.2">
      <c r="B1" s="83" t="s">
        <v>127</v>
      </c>
      <c r="E1" s="2"/>
      <c r="G1" s="13"/>
      <c r="H1" s="2"/>
      <c r="M1" s="5"/>
      <c r="N1" s="5"/>
    </row>
    <row r="2" spans="2:15" ht="13.5" thickBot="1" x14ac:dyDescent="0.25">
      <c r="I2" s="9"/>
    </row>
    <row r="3" spans="2:15" s="5" customFormat="1" ht="23.25" customHeight="1" x14ac:dyDescent="0.2">
      <c r="B3" s="115" t="s">
        <v>0</v>
      </c>
      <c r="C3" s="117" t="s">
        <v>36</v>
      </c>
      <c r="D3" s="117" t="s">
        <v>1</v>
      </c>
      <c r="E3" s="86" t="s">
        <v>2</v>
      </c>
      <c r="F3" s="117" t="s">
        <v>3</v>
      </c>
      <c r="G3" s="117" t="s">
        <v>4</v>
      </c>
      <c r="H3" s="86" t="s">
        <v>5</v>
      </c>
      <c r="I3" s="20" t="s">
        <v>6</v>
      </c>
      <c r="K3" s="536" t="s">
        <v>183</v>
      </c>
      <c r="L3" s="537"/>
    </row>
    <row r="4" spans="2:15" ht="40.5" customHeight="1" x14ac:dyDescent="0.2">
      <c r="B4" s="538" t="s">
        <v>499</v>
      </c>
      <c r="C4" s="539"/>
      <c r="D4" s="539"/>
      <c r="E4" s="539"/>
      <c r="F4" s="539"/>
      <c r="G4" s="240"/>
      <c r="H4" s="243"/>
      <c r="I4" s="361" t="s">
        <v>539</v>
      </c>
      <c r="K4" s="67" t="s">
        <v>8</v>
      </c>
      <c r="L4" s="78">
        <v>51200</v>
      </c>
      <c r="M4" t="s">
        <v>26</v>
      </c>
    </row>
    <row r="5" spans="2:15" ht="23.25" customHeight="1" x14ac:dyDescent="0.2">
      <c r="B5" s="95" t="s">
        <v>492</v>
      </c>
      <c r="C5" s="401" t="s">
        <v>23</v>
      </c>
      <c r="D5" s="107" t="s">
        <v>8</v>
      </c>
      <c r="E5" s="308">
        <f>単価!E2</f>
        <v>55200</v>
      </c>
      <c r="F5" s="108">
        <v>1</v>
      </c>
      <c r="G5" s="109" t="s">
        <v>11</v>
      </c>
      <c r="H5" s="308">
        <f>+E5*F5</f>
        <v>55200</v>
      </c>
      <c r="I5" s="482" t="s">
        <v>186</v>
      </c>
      <c r="K5" s="67" t="s">
        <v>9</v>
      </c>
      <c r="L5" s="78">
        <v>32800</v>
      </c>
      <c r="M5" t="s">
        <v>27</v>
      </c>
    </row>
    <row r="6" spans="2:15" ht="23.25" customHeight="1" x14ac:dyDescent="0.2">
      <c r="B6" s="95"/>
      <c r="C6" s="401"/>
      <c r="D6" s="44" t="s">
        <v>9</v>
      </c>
      <c r="E6" s="22">
        <f>単価!E4</f>
        <v>35600</v>
      </c>
      <c r="F6" s="21">
        <v>4</v>
      </c>
      <c r="G6" s="23" t="s">
        <v>11</v>
      </c>
      <c r="H6" s="22">
        <f>+E6*F6</f>
        <v>142400</v>
      </c>
      <c r="I6" s="484"/>
      <c r="K6" s="65" t="s">
        <v>7</v>
      </c>
      <c r="L6" s="78">
        <v>29000</v>
      </c>
      <c r="M6" t="s">
        <v>108</v>
      </c>
    </row>
    <row r="7" spans="2:15" ht="23.25" customHeight="1" x14ac:dyDescent="0.2">
      <c r="B7" s="95"/>
      <c r="C7" s="400" t="s">
        <v>28</v>
      </c>
      <c r="D7" s="44" t="s">
        <v>8</v>
      </c>
      <c r="E7" s="14">
        <f>単価!E2</f>
        <v>55200</v>
      </c>
      <c r="F7" s="21">
        <v>7</v>
      </c>
      <c r="G7" s="23" t="s">
        <v>11</v>
      </c>
      <c r="H7" s="22">
        <f>+E7*F7</f>
        <v>386400</v>
      </c>
      <c r="I7" s="89" t="s">
        <v>139</v>
      </c>
      <c r="K7" s="68"/>
      <c r="L7" s="68"/>
    </row>
    <row r="8" spans="2:15" ht="23.25" customHeight="1" x14ac:dyDescent="0.2">
      <c r="B8" s="95"/>
      <c r="C8" s="401"/>
      <c r="D8" s="44" t="s">
        <v>9</v>
      </c>
      <c r="E8" s="22">
        <f>単価!E4</f>
        <v>35600</v>
      </c>
      <c r="F8" s="21">
        <f>17*7</f>
        <v>119</v>
      </c>
      <c r="G8" s="23" t="s">
        <v>11</v>
      </c>
      <c r="H8" s="22">
        <f>+E8*F8</f>
        <v>4236400</v>
      </c>
      <c r="I8" s="88" t="s">
        <v>184</v>
      </c>
      <c r="K8" s="68">
        <f>SUM(H7:H9)</f>
        <v>5286400</v>
      </c>
      <c r="L8" s="68"/>
      <c r="M8" s="10"/>
    </row>
    <row r="9" spans="2:15" ht="23.25" customHeight="1" x14ac:dyDescent="0.2">
      <c r="B9" s="95"/>
      <c r="C9" s="401"/>
      <c r="D9" s="44" t="s">
        <v>7</v>
      </c>
      <c r="E9" s="22">
        <f>単価!E5</f>
        <v>31600</v>
      </c>
      <c r="F9" s="21">
        <f>3*7</f>
        <v>21</v>
      </c>
      <c r="G9" s="23" t="s">
        <v>11</v>
      </c>
      <c r="H9" s="22">
        <f>+E9*F9</f>
        <v>663600</v>
      </c>
      <c r="I9" s="88" t="s">
        <v>140</v>
      </c>
      <c r="K9" s="68"/>
      <c r="L9" s="68"/>
      <c r="M9" s="10"/>
    </row>
    <row r="10" spans="2:15" ht="51" customHeight="1" x14ac:dyDescent="0.2">
      <c r="B10" s="95"/>
      <c r="C10" s="402"/>
      <c r="D10" s="21" t="s">
        <v>25</v>
      </c>
      <c r="E10" s="22">
        <f>H10</f>
        <v>555072</v>
      </c>
      <c r="F10" s="21">
        <v>1</v>
      </c>
      <c r="G10" s="23" t="s">
        <v>538</v>
      </c>
      <c r="H10" s="22">
        <f>ROUNDDOWN(0.105*SUM(H7:H9),0)</f>
        <v>555072</v>
      </c>
      <c r="I10" s="351" t="str">
        <f>"弾代、労務者輸送費、個体処分費含む
捕獲者経費（=捕獲作業（銃）の直接人件費"&amp;M10&amp;"円）の15%以内"</f>
        <v>弾代、労務者輸送費、個体処分費含む
捕獲者経費（=捕獲作業（銃）の直接人件費5286400円）の15%以内</v>
      </c>
      <c r="K10" s="491" t="s">
        <v>38</v>
      </c>
      <c r="L10" s="492"/>
      <c r="M10" s="232">
        <f>SUM(H7:H9)</f>
        <v>5286400</v>
      </c>
    </row>
    <row r="11" spans="2:15" ht="29.25" customHeight="1" x14ac:dyDescent="0.2">
      <c r="B11" s="352" t="s">
        <v>10</v>
      </c>
      <c r="C11" s="21"/>
      <c r="D11" s="21"/>
      <c r="E11" s="22"/>
      <c r="F11" s="22"/>
      <c r="G11" s="23"/>
      <c r="H11" s="22">
        <f>SUM(H5:H10)</f>
        <v>6039072</v>
      </c>
      <c r="I11" s="111"/>
      <c r="K11" s="85" t="s">
        <v>23</v>
      </c>
      <c r="L11" s="92">
        <f>H5+H6</f>
        <v>197600</v>
      </c>
      <c r="M11" s="4"/>
    </row>
    <row r="12" spans="2:15" ht="23.25" customHeight="1" x14ac:dyDescent="0.2">
      <c r="B12" s="94" t="s">
        <v>75</v>
      </c>
      <c r="C12" s="400" t="s">
        <v>28</v>
      </c>
      <c r="D12" s="21" t="s">
        <v>29</v>
      </c>
      <c r="E12" s="22">
        <v>10000</v>
      </c>
      <c r="F12" s="21">
        <v>42</v>
      </c>
      <c r="G12" s="23" t="s">
        <v>30</v>
      </c>
      <c r="H12" s="22">
        <f>+E12*F12</f>
        <v>420000</v>
      </c>
      <c r="I12" s="111" t="s">
        <v>141</v>
      </c>
      <c r="K12" s="85" t="s">
        <v>498</v>
      </c>
      <c r="L12" s="92">
        <f>SUM(H7:H10)+SUM(H12:H13)</f>
        <v>6378772</v>
      </c>
    </row>
    <row r="13" spans="2:15" ht="23.25" customHeight="1" x14ac:dyDescent="0.2">
      <c r="B13" s="95"/>
      <c r="C13" s="402"/>
      <c r="D13" s="21" t="s">
        <v>496</v>
      </c>
      <c r="E13" s="22">
        <v>6900</v>
      </c>
      <c r="F13" s="21">
        <v>17</v>
      </c>
      <c r="G13" s="23" t="s">
        <v>21</v>
      </c>
      <c r="H13" s="22">
        <f>E13*F13</f>
        <v>117300</v>
      </c>
      <c r="I13" s="111" t="str">
        <f>"鋼材損料"&amp;K17&amp;"（=10%×(7日／30日))％、17丁、＠300,000"</f>
        <v>鋼材損料2.3（=10%×(7日／30日))％、17丁、＠300,000</v>
      </c>
      <c r="K13" s="91" t="s">
        <v>134</v>
      </c>
      <c r="L13" s="92">
        <f>H16</f>
        <v>2422000</v>
      </c>
    </row>
    <row r="14" spans="2:15" ht="23.25" customHeight="1" thickBot="1" x14ac:dyDescent="0.25">
      <c r="B14" s="94" t="s">
        <v>10</v>
      </c>
      <c r="C14" s="53"/>
      <c r="D14" s="53"/>
      <c r="E14" s="55"/>
      <c r="F14" s="53"/>
      <c r="G14" s="56"/>
      <c r="H14" s="55">
        <f>SUM(H12:H13)</f>
        <v>537300</v>
      </c>
      <c r="I14" s="248"/>
      <c r="K14" s="91" t="s">
        <v>135</v>
      </c>
      <c r="L14" s="92">
        <f>H17</f>
        <v>8990000</v>
      </c>
    </row>
    <row r="15" spans="2:15" ht="23.25" customHeight="1" x14ac:dyDescent="0.2">
      <c r="B15" s="529" t="s">
        <v>497</v>
      </c>
      <c r="C15" s="530"/>
      <c r="D15" s="530"/>
      <c r="E15" s="530"/>
      <c r="F15" s="530"/>
      <c r="G15" s="531"/>
      <c r="H15" s="45">
        <f>H11+H14</f>
        <v>6576372</v>
      </c>
      <c r="I15" s="112"/>
      <c r="K15" s="91" t="s">
        <v>136</v>
      </c>
      <c r="L15" s="84">
        <f>H18</f>
        <v>899000</v>
      </c>
    </row>
    <row r="16" spans="2:15" ht="23.25" customHeight="1" x14ac:dyDescent="0.2">
      <c r="B16" s="503" t="s">
        <v>109</v>
      </c>
      <c r="C16" s="486"/>
      <c r="D16" s="486"/>
      <c r="E16" s="486"/>
      <c r="F16" s="486"/>
      <c r="G16" s="487"/>
      <c r="H16" s="22">
        <f>ROUNDDOWN(H15*単価!E7/100,-3)-'R5交付金事業計画'!K23</f>
        <v>2422000</v>
      </c>
      <c r="I16" s="46" t="str">
        <f>"諸経費率"&amp;単価!E7&amp;"％以内（純調査費×"&amp;単価!E7&amp;"%）、1,000円未満切捨"</f>
        <v>諸経費率48.4％以内（純調査費×48.4%）、1,000円未満切捨</v>
      </c>
      <c r="K16" s="91" t="s">
        <v>133</v>
      </c>
      <c r="L16" s="92">
        <f>H19</f>
        <v>9889000</v>
      </c>
      <c r="M16" s="72"/>
      <c r="N16" s="5"/>
      <c r="O16" s="5"/>
    </row>
    <row r="17" spans="2:15" ht="23.25" customHeight="1" x14ac:dyDescent="0.2">
      <c r="B17" s="503" t="s">
        <v>24</v>
      </c>
      <c r="C17" s="486"/>
      <c r="D17" s="486"/>
      <c r="E17" s="486"/>
      <c r="F17" s="486"/>
      <c r="G17" s="487"/>
      <c r="H17" s="22">
        <f>ROUNDDOWN(H15+H16,-4)</f>
        <v>8990000</v>
      </c>
      <c r="I17" s="46" t="s">
        <v>131</v>
      </c>
      <c r="K17" s="75">
        <f>ROUNDDOWN(単価!E13*7/30,1)</f>
        <v>2.2999999999999998</v>
      </c>
      <c r="L17" s="93"/>
      <c r="M17" s="73"/>
      <c r="N17" s="74"/>
      <c r="O17" s="26"/>
    </row>
    <row r="18" spans="2:15" ht="23.25" customHeight="1" x14ac:dyDescent="0.2">
      <c r="B18" s="503" t="s">
        <v>13</v>
      </c>
      <c r="C18" s="486"/>
      <c r="D18" s="486"/>
      <c r="E18" s="486"/>
      <c r="F18" s="486"/>
      <c r="G18" s="487"/>
      <c r="H18" s="22">
        <f>H17*0.1</f>
        <v>899000</v>
      </c>
      <c r="I18" s="249">
        <v>0.1</v>
      </c>
      <c r="M18" s="73"/>
      <c r="N18" s="74"/>
      <c r="O18" s="76"/>
    </row>
    <row r="19" spans="2:15" ht="23.25" customHeight="1" thickBot="1" x14ac:dyDescent="0.25">
      <c r="B19" s="505" t="s">
        <v>20</v>
      </c>
      <c r="C19" s="506"/>
      <c r="D19" s="506"/>
      <c r="E19" s="506"/>
      <c r="F19" s="506"/>
      <c r="G19" s="507"/>
      <c r="H19" s="218">
        <f>SUM(H17:H18)</f>
        <v>9889000</v>
      </c>
      <c r="I19" s="250"/>
    </row>
    <row r="20" spans="2:15" x14ac:dyDescent="0.2">
      <c r="B20" s="238" t="str">
        <f>"※"&amp;単価!G2&amp;"参照"</f>
        <v>※P120-「令和５年度設計業務委託等技術者単価」抜粋／土木工事単価資料【土木工事編】【業務委託編】令和４年度（３月改訂版）参照</v>
      </c>
    </row>
    <row r="21" spans="2:15" ht="15.75" customHeight="1" x14ac:dyDescent="0.2">
      <c r="B21" s="25" t="str">
        <f>"※"&amp;単価!G9&amp;"参照"</f>
        <v>※P33-「表１－１　諸経費率標準値／第１章地質調査積算基準」／令和４年度版治山林道必携　調査・測量・設計編参照</v>
      </c>
      <c r="K21" s="4"/>
    </row>
    <row r="22" spans="2:15" x14ac:dyDescent="0.2">
      <c r="B22" t="str">
        <f>"※"&amp;単価!G13&amp;"参照"</f>
        <v>※P601-「鋼材／（３）仮設材の損料率　表２．１　土留、仮締切、築島、仮橋等の材料損料率／第８　仮施工」／令和４年度版治山林道必携　積算・施工編【上巻】参照</v>
      </c>
    </row>
    <row r="24" spans="2:15" x14ac:dyDescent="0.2">
      <c r="B24" s="13"/>
    </row>
    <row r="29" spans="2:15" x14ac:dyDescent="0.2">
      <c r="C29" t="s">
        <v>14</v>
      </c>
      <c r="D29" s="6" t="str">
        <f>IF(H16&lt;D34,"○")</f>
        <v>○</v>
      </c>
      <c r="G29"/>
      <c r="H29"/>
    </row>
    <row r="30" spans="2:15" x14ac:dyDescent="0.2">
      <c r="B30" s="9" t="s">
        <v>110</v>
      </c>
      <c r="C30" t="s">
        <v>15</v>
      </c>
      <c r="D30" s="7">
        <f>ROUND(D32*D31^D33,1)</f>
        <v>48.4</v>
      </c>
      <c r="E30"/>
      <c r="F30" t="s">
        <v>118</v>
      </c>
      <c r="G30"/>
      <c r="H30" s="51">
        <f>ROUNDDOWN(D30*H15/100,-3)</f>
        <v>3182000</v>
      </c>
      <c r="L30" s="4"/>
    </row>
    <row r="31" spans="2:15" x14ac:dyDescent="0.2">
      <c r="B31" s="9" t="s">
        <v>16</v>
      </c>
      <c r="C31" t="s">
        <v>17</v>
      </c>
      <c r="D31" s="6">
        <f>H15</f>
        <v>6576372</v>
      </c>
      <c r="E31"/>
      <c r="F31" t="s">
        <v>123</v>
      </c>
      <c r="H31" s="4">
        <f>(H30+H15)*1.1</f>
        <v>10734209.200000001</v>
      </c>
    </row>
    <row r="32" spans="2:15" x14ac:dyDescent="0.2">
      <c r="C32" t="s">
        <v>32</v>
      </c>
      <c r="D32" s="8">
        <v>285.3</v>
      </c>
      <c r="E32"/>
      <c r="F32" t="s">
        <v>119</v>
      </c>
      <c r="H32">
        <f>ROUNDDOWN((H30+H15),-4)*1.1-10000000</f>
        <v>725000</v>
      </c>
    </row>
    <row r="33" spans="2:8" x14ac:dyDescent="0.2">
      <c r="C33" t="s">
        <v>33</v>
      </c>
      <c r="D33" s="11">
        <v>-0.113</v>
      </c>
      <c r="E33"/>
      <c r="G33"/>
      <c r="H33"/>
    </row>
    <row r="34" spans="2:8" x14ac:dyDescent="0.2">
      <c r="C34" t="s">
        <v>18</v>
      </c>
      <c r="D34" s="6">
        <f>D31*(D30/100)</f>
        <v>3182964.048</v>
      </c>
      <c r="E34"/>
      <c r="G34"/>
      <c r="H34"/>
    </row>
    <row r="35" spans="2:8" x14ac:dyDescent="0.2">
      <c r="B35" s="4"/>
      <c r="D35" s="8"/>
      <c r="E35"/>
      <c r="G35"/>
      <c r="H35"/>
    </row>
  </sheetData>
  <mergeCells count="12">
    <mergeCell ref="B19:G19"/>
    <mergeCell ref="C12:C13"/>
    <mergeCell ref="B15:G15"/>
    <mergeCell ref="B16:G16"/>
    <mergeCell ref="B17:G17"/>
    <mergeCell ref="B18:G18"/>
    <mergeCell ref="K3:L3"/>
    <mergeCell ref="B4:F4"/>
    <mergeCell ref="C5:C6"/>
    <mergeCell ref="I5:I6"/>
    <mergeCell ref="C7:C10"/>
    <mergeCell ref="K10:L10"/>
  </mergeCells>
  <phoneticPr fontId="7"/>
  <pageMargins left="0.7" right="0.7" top="0.75" bottom="0.75" header="0.3" footer="0.3"/>
  <pageSetup paperSize="9" scale="8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B2:I22"/>
  <sheetViews>
    <sheetView workbookViewId="0"/>
  </sheetViews>
  <sheetFormatPr defaultRowHeight="13" x14ac:dyDescent="0.2"/>
  <cols>
    <col min="1" max="1" width="1.6328125" customWidth="1"/>
    <col min="2" max="2" width="20.08984375" customWidth="1"/>
    <col min="3" max="3" width="16.36328125" customWidth="1"/>
    <col min="4" max="4" width="9.90625" style="4" bestFit="1" customWidth="1"/>
    <col min="5" max="5" width="6" bestFit="1" customWidth="1"/>
    <col min="6" max="6" width="6.08984375" style="5" customWidth="1"/>
    <col min="7" max="8" width="10.90625" style="4" customWidth="1"/>
    <col min="9" max="9" width="57.453125" customWidth="1"/>
    <col min="10" max="10" width="1.90625" customWidth="1"/>
    <col min="11" max="11" width="11.08984375" bestFit="1" customWidth="1"/>
  </cols>
  <sheetData>
    <row r="2" spans="2:9" s="1" customFormat="1" ht="16.5" x14ac:dyDescent="0.2">
      <c r="B2" s="1" t="s">
        <v>126</v>
      </c>
      <c r="D2" s="2"/>
      <c r="F2" s="3"/>
      <c r="G2" s="2"/>
      <c r="H2" s="2"/>
    </row>
    <row r="3" spans="2:9" ht="13.5" thickBot="1" x14ac:dyDescent="0.25">
      <c r="I3" s="9"/>
    </row>
    <row r="4" spans="2:9" s="5" customFormat="1" x14ac:dyDescent="0.2">
      <c r="B4" s="62" t="s">
        <v>40</v>
      </c>
      <c r="C4" s="63" t="s">
        <v>1</v>
      </c>
      <c r="D4" s="64" t="s">
        <v>2</v>
      </c>
      <c r="E4" s="63" t="s">
        <v>3</v>
      </c>
      <c r="F4" s="63" t="s">
        <v>4</v>
      </c>
      <c r="G4" s="64" t="s">
        <v>5</v>
      </c>
      <c r="H4" s="543" t="s">
        <v>6</v>
      </c>
      <c r="I4" s="544"/>
    </row>
    <row r="5" spans="2:9" x14ac:dyDescent="0.2">
      <c r="B5" s="540" t="s">
        <v>54</v>
      </c>
      <c r="C5" s="65" t="s">
        <v>55</v>
      </c>
      <c r="D5" s="22">
        <v>11200</v>
      </c>
      <c r="E5" s="21">
        <v>6</v>
      </c>
      <c r="F5" s="71" t="s">
        <v>65</v>
      </c>
      <c r="G5" s="66">
        <f>D5*E5</f>
        <v>67200</v>
      </c>
      <c r="H5" s="545" t="s">
        <v>185</v>
      </c>
      <c r="I5" s="546"/>
    </row>
    <row r="6" spans="2:9" x14ac:dyDescent="0.2">
      <c r="B6" s="475"/>
      <c r="C6" s="65" t="s">
        <v>41</v>
      </c>
      <c r="D6" s="66">
        <f>D20</f>
        <v>12890</v>
      </c>
      <c r="E6" s="65">
        <v>46</v>
      </c>
      <c r="F6" s="71" t="s">
        <v>22</v>
      </c>
      <c r="G6" s="66">
        <f>D6*E6</f>
        <v>592940</v>
      </c>
      <c r="H6" s="547" t="s">
        <v>145</v>
      </c>
      <c r="I6" s="548"/>
    </row>
    <row r="7" spans="2:9" x14ac:dyDescent="0.2">
      <c r="B7" s="475"/>
      <c r="C7" s="65" t="s">
        <v>42</v>
      </c>
      <c r="D7" s="66">
        <v>4000</v>
      </c>
      <c r="E7" s="65">
        <v>101</v>
      </c>
      <c r="F7" s="71" t="s">
        <v>43</v>
      </c>
      <c r="G7" s="66">
        <f>D7*E7</f>
        <v>404000</v>
      </c>
      <c r="H7" s="549"/>
      <c r="I7" s="550"/>
    </row>
    <row r="8" spans="2:9" x14ac:dyDescent="0.2">
      <c r="B8" s="541"/>
      <c r="C8" s="65" t="s">
        <v>10</v>
      </c>
      <c r="D8" s="66"/>
      <c r="E8" s="65"/>
      <c r="F8" s="71"/>
      <c r="G8" s="66">
        <f>SUM(G5:G7)</f>
        <v>1064140</v>
      </c>
      <c r="H8" s="549"/>
      <c r="I8" s="550"/>
    </row>
    <row r="9" spans="2:9" x14ac:dyDescent="0.2">
      <c r="I9" s="33"/>
    </row>
    <row r="10" spans="2:9" x14ac:dyDescent="0.2">
      <c r="I10" s="33"/>
    </row>
    <row r="11" spans="2:9" x14ac:dyDescent="0.2">
      <c r="B11" t="s">
        <v>56</v>
      </c>
      <c r="D11" s="82"/>
    </row>
    <row r="12" spans="2:9" x14ac:dyDescent="0.2">
      <c r="B12" s="397" t="s">
        <v>121</v>
      </c>
      <c r="C12" s="12" t="s">
        <v>120</v>
      </c>
      <c r="D12" s="12" t="s">
        <v>526</v>
      </c>
      <c r="E12" s="12" t="s">
        <v>45</v>
      </c>
      <c r="F12" s="12" t="s">
        <v>46</v>
      </c>
      <c r="G12" s="79" t="s">
        <v>47</v>
      </c>
      <c r="H12" s="80" t="s">
        <v>527</v>
      </c>
    </row>
    <row r="13" spans="2:9" x14ac:dyDescent="0.2">
      <c r="B13" s="399"/>
      <c r="C13" s="35" t="s">
        <v>111</v>
      </c>
      <c r="D13" s="34" t="s">
        <v>16</v>
      </c>
      <c r="E13" s="35" t="s">
        <v>112</v>
      </c>
      <c r="F13" s="35" t="s">
        <v>113</v>
      </c>
      <c r="G13" s="34" t="s">
        <v>114</v>
      </c>
      <c r="H13" s="42" t="s">
        <v>16</v>
      </c>
    </row>
    <row r="14" spans="2:9" x14ac:dyDescent="0.2">
      <c r="B14" s="65" t="s">
        <v>475</v>
      </c>
      <c r="C14" s="65">
        <f>100*2</f>
        <v>200</v>
      </c>
      <c r="D14" s="228">
        <f>単価!E6</f>
        <v>150</v>
      </c>
      <c r="E14" s="35">
        <v>10</v>
      </c>
      <c r="F14" s="35">
        <v>30</v>
      </c>
      <c r="G14" s="81">
        <f>ROUNDDOWN(C14/F14,2)</f>
        <v>6.66</v>
      </c>
      <c r="H14" s="36">
        <f>単価!E12</f>
        <v>527</v>
      </c>
    </row>
    <row r="15" spans="2:9" x14ac:dyDescent="0.2">
      <c r="B15" s="65" t="s">
        <v>474</v>
      </c>
      <c r="C15" s="65">
        <f>98*2</f>
        <v>196</v>
      </c>
      <c r="D15" s="228">
        <f>単価!E6</f>
        <v>150</v>
      </c>
      <c r="E15" s="35">
        <v>10</v>
      </c>
      <c r="F15" s="35">
        <v>30</v>
      </c>
      <c r="G15" s="81">
        <f>ROUNDDOWN(C15/F15,2)</f>
        <v>6.53</v>
      </c>
      <c r="H15" s="36">
        <f>単価!E12</f>
        <v>527</v>
      </c>
    </row>
    <row r="16" spans="2:9" x14ac:dyDescent="0.2">
      <c r="B16" s="322" t="str">
        <f>"※"&amp;単価!G6&amp;"参照"</f>
        <v>※P20-「ガソリン（委託用）レギュラー／3-1 03)燃料類」抜粋／土木工事単価資料【土木工事編】【業務委託編】令和４年度（３月改訂版）参照</v>
      </c>
      <c r="D16"/>
      <c r="F16"/>
      <c r="G16"/>
      <c r="H16"/>
    </row>
    <row r="17" spans="2:9" x14ac:dyDescent="0.2">
      <c r="B17" s="542" t="s">
        <v>57</v>
      </c>
      <c r="C17" s="542"/>
      <c r="D17" s="38" t="s">
        <v>115</v>
      </c>
      <c r="E17" s="43"/>
      <c r="G17" s="9"/>
      <c r="H17" s="9"/>
    </row>
    <row r="18" spans="2:9" x14ac:dyDescent="0.2">
      <c r="B18" s="39" t="s">
        <v>116</v>
      </c>
      <c r="C18" s="37"/>
      <c r="D18" s="226">
        <f>ROUNDDOWN(D15*C15/E15,0)+ROUNDDOWN(D14*C14/E14,0)</f>
        <v>5940</v>
      </c>
      <c r="E18" s="43"/>
      <c r="G18" s="9"/>
      <c r="H18" s="9"/>
    </row>
    <row r="19" spans="2:9" x14ac:dyDescent="0.2">
      <c r="B19" s="40" t="s">
        <v>52</v>
      </c>
      <c r="C19" s="41"/>
      <c r="D19" s="226">
        <f>ROUNDDOWN(G15*H15,0)+ROUNDDOWN(G14*H14,0)</f>
        <v>6950</v>
      </c>
      <c r="E19" s="43"/>
      <c r="G19"/>
      <c r="H19"/>
    </row>
    <row r="20" spans="2:9" x14ac:dyDescent="0.2">
      <c r="B20" s="532" t="s">
        <v>53</v>
      </c>
      <c r="C20" s="534"/>
      <c r="D20" s="226">
        <f>SUM(D18:D19)</f>
        <v>12890</v>
      </c>
      <c r="E20" s="43"/>
      <c r="I20" s="5"/>
    </row>
    <row r="21" spans="2:9" x14ac:dyDescent="0.2">
      <c r="G21"/>
      <c r="H21"/>
    </row>
    <row r="22" spans="2:9" x14ac:dyDescent="0.2">
      <c r="G22"/>
      <c r="H22"/>
    </row>
  </sheetData>
  <mergeCells count="9">
    <mergeCell ref="B12:B13"/>
    <mergeCell ref="B5:B8"/>
    <mergeCell ref="B17:C17"/>
    <mergeCell ref="B20:C20"/>
    <mergeCell ref="H4:I4"/>
    <mergeCell ref="H5:I5"/>
    <mergeCell ref="H6:I6"/>
    <mergeCell ref="H7:I7"/>
    <mergeCell ref="H8:I8"/>
  </mergeCells>
  <phoneticPr fontId="7"/>
  <pageMargins left="0.7" right="0.7" top="0.75" bottom="0.75" header="0.3" footer="0.3"/>
  <pageSetup paperSize="9" scale="94"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C7E3F-77B6-4B93-83F5-A31FBAEAF722}">
  <sheetPr>
    <pageSetUpPr fitToPage="1"/>
  </sheetPr>
  <dimension ref="B1:O26"/>
  <sheetViews>
    <sheetView workbookViewId="0"/>
  </sheetViews>
  <sheetFormatPr defaultColWidth="9" defaultRowHeight="13" x14ac:dyDescent="0.2"/>
  <cols>
    <col min="1" max="1" width="1.6328125" customWidth="1"/>
    <col min="2" max="2" width="12.90625" customWidth="1"/>
    <col min="3" max="3" width="17.6328125" customWidth="1"/>
    <col min="4" max="4" width="17.08984375" customWidth="1"/>
    <col min="5" max="5" width="9.90625" style="4" bestFit="1" customWidth="1"/>
    <col min="6" max="6" width="6" bestFit="1" customWidth="1"/>
    <col min="7" max="7" width="6.08984375" style="5" customWidth="1"/>
    <col min="8" max="8" width="13.6328125" style="4" bestFit="1" customWidth="1"/>
    <col min="9" max="9" width="53" customWidth="1"/>
    <col min="10" max="10" width="1.90625" customWidth="1"/>
    <col min="11" max="11" width="12.90625" customWidth="1"/>
    <col min="12" max="12" width="11.6328125" customWidth="1"/>
    <col min="13" max="13" width="1.6328125" customWidth="1"/>
    <col min="14" max="14" width="10.6328125" bestFit="1" customWidth="1"/>
    <col min="15" max="15" width="11.90625" customWidth="1"/>
  </cols>
  <sheetData>
    <row r="1" spans="2:15" s="1" customFormat="1" ht="25.5" customHeight="1" x14ac:dyDescent="0.2">
      <c r="B1" s="28" t="s">
        <v>147</v>
      </c>
      <c r="E1" s="2"/>
      <c r="G1" s="13"/>
      <c r="H1" s="2"/>
      <c r="N1" s="5"/>
      <c r="O1" s="5"/>
    </row>
    <row r="2" spans="2:15" ht="13.5" thickBot="1" x14ac:dyDescent="0.25">
      <c r="I2" s="9"/>
    </row>
    <row r="3" spans="2:15" s="5" customFormat="1" ht="23.25" customHeight="1" x14ac:dyDescent="0.2">
      <c r="B3" s="17" t="s">
        <v>0</v>
      </c>
      <c r="C3" s="18" t="s">
        <v>36</v>
      </c>
      <c r="D3" s="18" t="s">
        <v>1</v>
      </c>
      <c r="E3" s="19" t="s">
        <v>2</v>
      </c>
      <c r="F3" s="18" t="s">
        <v>3</v>
      </c>
      <c r="G3" s="18" t="s">
        <v>4</v>
      </c>
      <c r="H3" s="19" t="s">
        <v>5</v>
      </c>
      <c r="I3" s="20" t="s">
        <v>6</v>
      </c>
      <c r="J3" s="15"/>
      <c r="K3" s="24"/>
      <c r="L3" s="24"/>
      <c r="M3" s="24"/>
      <c r="N3"/>
    </row>
    <row r="4" spans="2:15" ht="27.65" customHeight="1" x14ac:dyDescent="0.2">
      <c r="B4" s="96" t="s">
        <v>148</v>
      </c>
      <c r="C4" s="113" t="s">
        <v>163</v>
      </c>
      <c r="D4" s="44" t="s">
        <v>164</v>
      </c>
      <c r="E4" s="22">
        <v>9000</v>
      </c>
      <c r="F4" s="21">
        <v>680</v>
      </c>
      <c r="G4" s="23" t="s">
        <v>43</v>
      </c>
      <c r="H4" s="22">
        <f>+E4*F4</f>
        <v>6120000</v>
      </c>
      <c r="I4" s="70" t="s">
        <v>162</v>
      </c>
      <c r="J4" s="13"/>
      <c r="M4" s="48"/>
      <c r="N4" s="10"/>
    </row>
    <row r="5" spans="2:15" ht="27.65" customHeight="1" x14ac:dyDescent="0.2">
      <c r="B5" s="100"/>
      <c r="C5" s="101" t="s">
        <v>152</v>
      </c>
      <c r="D5" s="102"/>
      <c r="E5" s="103"/>
      <c r="F5" s="104"/>
      <c r="G5" s="105"/>
      <c r="H5" s="22">
        <f>SUM(H4:H4)</f>
        <v>6120000</v>
      </c>
      <c r="I5" s="106"/>
      <c r="J5" s="13"/>
      <c r="K5" s="553" t="s">
        <v>38</v>
      </c>
      <c r="L5" s="554"/>
      <c r="M5" s="14"/>
    </row>
    <row r="6" spans="2:15" ht="27.65" customHeight="1" x14ac:dyDescent="0.2">
      <c r="B6" s="555" t="s">
        <v>153</v>
      </c>
      <c r="C6" s="557" t="s">
        <v>154</v>
      </c>
      <c r="D6" s="107" t="s">
        <v>174</v>
      </c>
      <c r="E6" s="14">
        <v>10000</v>
      </c>
      <c r="F6" s="108">
        <v>10</v>
      </c>
      <c r="G6" s="109" t="s">
        <v>68</v>
      </c>
      <c r="H6" s="22">
        <f>+E6*F6</f>
        <v>100000</v>
      </c>
      <c r="I6" s="89" t="s">
        <v>175</v>
      </c>
      <c r="J6" s="13"/>
      <c r="K6" s="49" t="s">
        <v>148</v>
      </c>
      <c r="L6" s="22">
        <f>H5</f>
        <v>6120000</v>
      </c>
      <c r="M6" s="14"/>
    </row>
    <row r="7" spans="2:15" ht="27.65" customHeight="1" x14ac:dyDescent="0.2">
      <c r="B7" s="556"/>
      <c r="C7" s="558"/>
      <c r="D7" s="44" t="s">
        <v>69</v>
      </c>
      <c r="E7" s="22">
        <v>6000</v>
      </c>
      <c r="F7" s="21">
        <v>5</v>
      </c>
      <c r="G7" s="23" t="s">
        <v>66</v>
      </c>
      <c r="H7" s="22">
        <f>+E7*F7</f>
        <v>30000</v>
      </c>
      <c r="I7" s="88"/>
      <c r="J7" s="13"/>
      <c r="K7" s="49" t="s">
        <v>151</v>
      </c>
      <c r="L7" s="22">
        <f>H9</f>
        <v>205000</v>
      </c>
      <c r="M7" s="14"/>
    </row>
    <row r="8" spans="2:15" ht="27.65" customHeight="1" x14ac:dyDescent="0.2">
      <c r="B8" s="556"/>
      <c r="C8" s="559"/>
      <c r="D8" s="44" t="s">
        <v>70</v>
      </c>
      <c r="E8" s="22">
        <v>15000</v>
      </c>
      <c r="F8" s="21">
        <v>5</v>
      </c>
      <c r="G8" s="23" t="s">
        <v>66</v>
      </c>
      <c r="H8" s="22">
        <f>+E8*F8</f>
        <v>75000</v>
      </c>
      <c r="I8" s="88"/>
      <c r="J8" s="13"/>
      <c r="K8" s="49" t="s">
        <v>12</v>
      </c>
      <c r="L8" s="22">
        <f>H10</f>
        <v>102000</v>
      </c>
      <c r="M8" s="13"/>
    </row>
    <row r="9" spans="2:15" ht="27.65" customHeight="1" x14ac:dyDescent="0.2">
      <c r="B9" s="95"/>
      <c r="C9" s="104" t="s">
        <v>156</v>
      </c>
      <c r="D9" s="104"/>
      <c r="E9" s="103"/>
      <c r="F9" s="103"/>
      <c r="G9" s="105"/>
      <c r="H9" s="22">
        <f>SUM(H6:H8)</f>
        <v>205000</v>
      </c>
      <c r="I9" s="111"/>
      <c r="J9" s="13"/>
      <c r="K9" s="13"/>
      <c r="L9" s="24"/>
      <c r="M9" s="13"/>
    </row>
    <row r="10" spans="2:15" ht="27.65" customHeight="1" x14ac:dyDescent="0.2">
      <c r="B10" s="95"/>
      <c r="C10" s="104" t="s">
        <v>12</v>
      </c>
      <c r="D10" s="104"/>
      <c r="E10" s="104"/>
      <c r="F10" s="104"/>
      <c r="G10" s="280"/>
      <c r="H10" s="22">
        <f>ROUNDDOWN((H9)*0.5,-3)</f>
        <v>102000</v>
      </c>
      <c r="I10" s="46" t="str">
        <f>D21&amp;"%以内　"&amp;"※②が対象、1,000円未満切捨"</f>
        <v>50%以内　※②が対象、1,000円未満切捨</v>
      </c>
      <c r="J10" s="13"/>
      <c r="K10" s="14"/>
      <c r="L10" s="13"/>
      <c r="M10" s="24"/>
    </row>
    <row r="11" spans="2:15" ht="27.65" customHeight="1" x14ac:dyDescent="0.2">
      <c r="B11" s="95"/>
      <c r="C11" s="104" t="s">
        <v>172</v>
      </c>
      <c r="D11" s="104"/>
      <c r="E11" s="104"/>
      <c r="F11" s="104"/>
      <c r="G11" s="280"/>
      <c r="H11" s="22">
        <f>ROUNDDOWN(SUM(H9:H10),-4)</f>
        <v>300000</v>
      </c>
      <c r="I11" s="77" t="s">
        <v>131</v>
      </c>
      <c r="J11" s="13"/>
    </row>
    <row r="12" spans="2:15" ht="27.65" customHeight="1" x14ac:dyDescent="0.2">
      <c r="B12" s="95"/>
      <c r="C12" s="281" t="s">
        <v>13</v>
      </c>
      <c r="D12" s="104"/>
      <c r="E12" s="104"/>
      <c r="F12" s="104"/>
      <c r="G12" s="280"/>
      <c r="H12" s="22">
        <f>ROUNDDOWN(H11*0.1,0)</f>
        <v>30000</v>
      </c>
      <c r="I12" s="282"/>
      <c r="J12" s="13"/>
    </row>
    <row r="13" spans="2:15" ht="27.65" customHeight="1" thickBot="1" x14ac:dyDescent="0.25">
      <c r="B13" s="283"/>
      <c r="C13" s="284" t="s">
        <v>173</v>
      </c>
      <c r="D13" s="284"/>
      <c r="E13" s="284"/>
      <c r="F13" s="284"/>
      <c r="G13" s="285"/>
      <c r="H13" s="30">
        <f>H11+H12</f>
        <v>330000</v>
      </c>
      <c r="I13" s="286"/>
      <c r="J13" s="13"/>
    </row>
    <row r="14" spans="2:15" ht="27.65" customHeight="1" thickBot="1" x14ac:dyDescent="0.25">
      <c r="B14" s="551" t="s">
        <v>20</v>
      </c>
      <c r="C14" s="552"/>
      <c r="D14" s="552"/>
      <c r="E14" s="552"/>
      <c r="F14" s="552"/>
      <c r="G14" s="552"/>
      <c r="H14" s="30">
        <f>H5+H13</f>
        <v>6450000</v>
      </c>
      <c r="I14" s="272"/>
      <c r="J14" s="13"/>
    </row>
    <row r="15" spans="2:15" ht="21.75" customHeight="1" x14ac:dyDescent="0.2">
      <c r="B15" s="13"/>
      <c r="J15" s="13"/>
    </row>
    <row r="16" spans="2:15" ht="21.75" customHeight="1" x14ac:dyDescent="0.2">
      <c r="B16" s="13"/>
      <c r="J16" s="13"/>
      <c r="L16" s="4"/>
    </row>
    <row r="17" spans="2:13" ht="21.75" customHeight="1" x14ac:dyDescent="0.2">
      <c r="B17" s="13"/>
      <c r="M17" s="4"/>
    </row>
    <row r="18" spans="2:13" ht="21.75" customHeight="1" x14ac:dyDescent="0.2">
      <c r="B18" s="13"/>
      <c r="H18" s="4">
        <f>'R5交付金事業計画'!C29</f>
        <v>6500000</v>
      </c>
    </row>
    <row r="19" spans="2:13" ht="19.5" customHeight="1" x14ac:dyDescent="0.2">
      <c r="G19" s="287" t="s">
        <v>437</v>
      </c>
      <c r="H19" s="4">
        <f>H14</f>
        <v>6450000</v>
      </c>
    </row>
    <row r="20" spans="2:13" ht="19.5" customHeight="1" x14ac:dyDescent="0.2">
      <c r="C20" t="s">
        <v>14</v>
      </c>
      <c r="D20" s="6" t="e">
        <f>IF(H10&lt;D25,"○")</f>
        <v>#REF!</v>
      </c>
      <c r="G20" s="13" t="s">
        <v>153</v>
      </c>
      <c r="H20" s="4">
        <f>'カ_【ジビエ】捕獲府事務費 _8P'!G8</f>
        <v>50000</v>
      </c>
    </row>
    <row r="21" spans="2:13" ht="19.5" customHeight="1" x14ac:dyDescent="0.2">
      <c r="B21" s="9" t="s">
        <v>31</v>
      </c>
      <c r="C21" t="s">
        <v>15</v>
      </c>
      <c r="D21" s="7">
        <v>50</v>
      </c>
      <c r="E21"/>
      <c r="G21" s="13"/>
      <c r="H21" s="4">
        <f>H18-H19-H20</f>
        <v>0</v>
      </c>
    </row>
    <row r="22" spans="2:13" ht="19.5" customHeight="1" x14ac:dyDescent="0.2">
      <c r="B22" s="9" t="s">
        <v>16</v>
      </c>
      <c r="C22" t="s">
        <v>17</v>
      </c>
      <c r="D22" s="6" t="e">
        <f>SUM(#REF!)</f>
        <v>#REF!</v>
      </c>
      <c r="E22"/>
      <c r="G22" s="13"/>
    </row>
    <row r="23" spans="2:13" x14ac:dyDescent="0.2">
      <c r="C23" t="s">
        <v>32</v>
      </c>
      <c r="D23" s="8">
        <v>335.58</v>
      </c>
      <c r="E23"/>
    </row>
    <row r="24" spans="2:13" x14ac:dyDescent="0.2">
      <c r="C24" t="s">
        <v>33</v>
      </c>
      <c r="D24" s="11">
        <v>-0.13500000000000001</v>
      </c>
      <c r="E24"/>
    </row>
    <row r="25" spans="2:13" x14ac:dyDescent="0.2">
      <c r="C25" t="s">
        <v>18</v>
      </c>
      <c r="D25" s="6" t="e">
        <f>D22*(D21/100)</f>
        <v>#REF!</v>
      </c>
      <c r="E25"/>
    </row>
    <row r="26" spans="2:13" x14ac:dyDescent="0.2">
      <c r="B26" s="4"/>
      <c r="C26" t="s">
        <v>19</v>
      </c>
      <c r="D26" s="8" t="e">
        <f>H10*100/D22</f>
        <v>#REF!</v>
      </c>
      <c r="E26"/>
    </row>
  </sheetData>
  <mergeCells count="4">
    <mergeCell ref="B14:G14"/>
    <mergeCell ref="K5:L5"/>
    <mergeCell ref="B6:B8"/>
    <mergeCell ref="C6:C8"/>
  </mergeCells>
  <phoneticPr fontId="7"/>
  <pageMargins left="0.6692913385826772" right="0.19685039370078741" top="1.1023622047244095" bottom="0.98425196850393704"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52A4E-363D-436D-BD17-48C5D355684D}">
  <sheetPr>
    <pageSetUpPr fitToPage="1"/>
  </sheetPr>
  <dimension ref="B1:O27"/>
  <sheetViews>
    <sheetView workbookViewId="0"/>
  </sheetViews>
  <sheetFormatPr defaultRowHeight="13" x14ac:dyDescent="0.2"/>
  <cols>
    <col min="1" max="1" width="1.6328125" customWidth="1"/>
    <col min="2" max="2" width="12.90625" customWidth="1"/>
    <col min="3" max="3" width="17.6328125" customWidth="1"/>
    <col min="4" max="4" width="11.6328125" customWidth="1"/>
    <col min="5" max="5" width="9.90625" style="4" bestFit="1" customWidth="1"/>
    <col min="6" max="6" width="6" bestFit="1" customWidth="1"/>
    <col min="7" max="7" width="6.08984375" style="5" customWidth="1"/>
    <col min="8" max="8" width="13.6328125" style="4" bestFit="1" customWidth="1"/>
    <col min="9" max="9" width="53" customWidth="1"/>
    <col min="10" max="10" width="1.90625" customWidth="1"/>
    <col min="11" max="11" width="12.90625" customWidth="1"/>
    <col min="12" max="12" width="11.6328125" customWidth="1"/>
    <col min="13" max="13" width="1.6328125" customWidth="1"/>
    <col min="14" max="14" width="10.6328125" bestFit="1" customWidth="1"/>
    <col min="15" max="15" width="11.90625" customWidth="1"/>
  </cols>
  <sheetData>
    <row r="1" spans="2:15" s="1" customFormat="1" ht="25.5" customHeight="1" x14ac:dyDescent="0.2">
      <c r="B1" s="28" t="s">
        <v>147</v>
      </c>
      <c r="E1" s="2"/>
      <c r="G1" s="3"/>
      <c r="H1" s="2"/>
      <c r="N1" s="5"/>
      <c r="O1" s="5"/>
    </row>
    <row r="2" spans="2:15" ht="13.5" thickBot="1" x14ac:dyDescent="0.25">
      <c r="I2" s="9"/>
    </row>
    <row r="3" spans="2:15" s="5" customFormat="1" ht="23.25" customHeight="1" x14ac:dyDescent="0.2">
      <c r="B3" s="17" t="s">
        <v>0</v>
      </c>
      <c r="C3" s="18" t="s">
        <v>36</v>
      </c>
      <c r="D3" s="18" t="s">
        <v>1</v>
      </c>
      <c r="E3" s="19" t="s">
        <v>2</v>
      </c>
      <c r="F3" s="18" t="s">
        <v>3</v>
      </c>
      <c r="G3" s="18" t="s">
        <v>4</v>
      </c>
      <c r="H3" s="19" t="s">
        <v>5</v>
      </c>
      <c r="I3" s="20" t="s">
        <v>6</v>
      </c>
      <c r="J3" s="15"/>
      <c r="K3" s="24"/>
      <c r="L3" s="24"/>
      <c r="M3" s="24"/>
      <c r="N3"/>
    </row>
    <row r="4" spans="2:15" ht="30.75" customHeight="1" x14ac:dyDescent="0.2">
      <c r="B4" s="96" t="s">
        <v>148</v>
      </c>
      <c r="C4" s="113" t="s">
        <v>149</v>
      </c>
      <c r="D4" s="44" t="s">
        <v>150</v>
      </c>
      <c r="E4" s="22">
        <v>5400</v>
      </c>
      <c r="F4" s="21">
        <v>423</v>
      </c>
      <c r="G4" s="23" t="s">
        <v>43</v>
      </c>
      <c r="H4" s="22">
        <f t="shared" ref="H4:H9" si="0">+E4*F4</f>
        <v>2284200</v>
      </c>
      <c r="I4" s="70" t="s">
        <v>159</v>
      </c>
      <c r="J4" s="13"/>
      <c r="K4" s="553" t="s">
        <v>38</v>
      </c>
      <c r="L4" s="554"/>
      <c r="M4" s="48"/>
      <c r="N4" s="10"/>
    </row>
    <row r="5" spans="2:15" ht="30.75" customHeight="1" x14ac:dyDescent="0.2">
      <c r="B5" s="97"/>
      <c r="C5" s="114"/>
      <c r="D5" s="98" t="s">
        <v>150</v>
      </c>
      <c r="E5" s="22">
        <v>5400</v>
      </c>
      <c r="F5" s="53">
        <v>125</v>
      </c>
      <c r="G5" s="56" t="s">
        <v>43</v>
      </c>
      <c r="H5" s="22">
        <f t="shared" si="0"/>
        <v>675000</v>
      </c>
      <c r="I5" s="70" t="s">
        <v>160</v>
      </c>
      <c r="J5" s="13"/>
      <c r="K5" s="99" t="s">
        <v>148</v>
      </c>
      <c r="L5" s="22">
        <f>H6</f>
        <v>2959200</v>
      </c>
      <c r="M5" s="14"/>
      <c r="N5" s="4"/>
    </row>
    <row r="6" spans="2:15" ht="30.75" customHeight="1" x14ac:dyDescent="0.2">
      <c r="B6" s="100"/>
      <c r="C6" s="101" t="s">
        <v>152</v>
      </c>
      <c r="D6" s="102"/>
      <c r="E6" s="103"/>
      <c r="F6" s="104"/>
      <c r="G6" s="105"/>
      <c r="H6" s="22">
        <f>SUM(H4:H5)</f>
        <v>2959200</v>
      </c>
      <c r="I6" s="106"/>
      <c r="J6" s="13"/>
      <c r="K6" s="49" t="s">
        <v>151</v>
      </c>
      <c r="L6" s="22">
        <f>H10</f>
        <v>180000</v>
      </c>
      <c r="M6" s="14"/>
    </row>
    <row r="7" spans="2:15" ht="30.75" customHeight="1" x14ac:dyDescent="0.2">
      <c r="B7" s="560" t="s">
        <v>153</v>
      </c>
      <c r="C7" s="557" t="s">
        <v>154</v>
      </c>
      <c r="D7" s="107" t="s">
        <v>155</v>
      </c>
      <c r="E7" s="14">
        <v>10000</v>
      </c>
      <c r="F7" s="108">
        <v>8</v>
      </c>
      <c r="G7" s="109" t="s">
        <v>68</v>
      </c>
      <c r="H7" s="22">
        <f t="shared" si="0"/>
        <v>80000</v>
      </c>
      <c r="I7" s="89" t="s">
        <v>161</v>
      </c>
      <c r="J7" s="13"/>
      <c r="K7" s="49" t="s">
        <v>12</v>
      </c>
      <c r="L7" s="22">
        <f>H12</f>
        <v>1569000</v>
      </c>
      <c r="M7" s="14"/>
    </row>
    <row r="8" spans="2:15" ht="30.75" customHeight="1" x14ac:dyDescent="0.2">
      <c r="B8" s="561"/>
      <c r="C8" s="558"/>
      <c r="D8" s="44" t="s">
        <v>69</v>
      </c>
      <c r="E8" s="22">
        <v>5000</v>
      </c>
      <c r="F8" s="21">
        <v>4</v>
      </c>
      <c r="G8" s="23" t="s">
        <v>66</v>
      </c>
      <c r="H8" s="22">
        <f t="shared" si="0"/>
        <v>20000</v>
      </c>
      <c r="I8" s="88"/>
      <c r="J8" s="13"/>
      <c r="K8" s="13"/>
      <c r="L8" s="13"/>
      <c r="M8" s="14"/>
    </row>
    <row r="9" spans="2:15" ht="30.75" customHeight="1" x14ac:dyDescent="0.2">
      <c r="B9" s="561"/>
      <c r="C9" s="559"/>
      <c r="D9" s="44" t="s">
        <v>70</v>
      </c>
      <c r="E9" s="22">
        <v>20000</v>
      </c>
      <c r="F9" s="21">
        <v>4</v>
      </c>
      <c r="G9" s="23" t="s">
        <v>66</v>
      </c>
      <c r="H9" s="22">
        <f t="shared" si="0"/>
        <v>80000</v>
      </c>
      <c r="I9" s="88"/>
      <c r="J9" s="13"/>
      <c r="K9" s="13"/>
      <c r="L9" s="13"/>
      <c r="M9" s="13"/>
    </row>
    <row r="10" spans="2:15" ht="30.75" customHeight="1" thickBot="1" x14ac:dyDescent="0.25">
      <c r="B10" s="110"/>
      <c r="C10" s="104" t="s">
        <v>156</v>
      </c>
      <c r="D10" s="104"/>
      <c r="E10" s="103"/>
      <c r="F10" s="103"/>
      <c r="G10" s="105"/>
      <c r="H10" s="22">
        <f>SUM(H7:H9)</f>
        <v>180000</v>
      </c>
      <c r="I10" s="111"/>
      <c r="J10" s="13"/>
      <c r="K10" s="13"/>
      <c r="L10" s="24"/>
      <c r="M10" s="13"/>
    </row>
    <row r="11" spans="2:15" ht="30.75" customHeight="1" x14ac:dyDescent="0.2">
      <c r="B11" s="529" t="s">
        <v>71</v>
      </c>
      <c r="C11" s="530"/>
      <c r="D11" s="530"/>
      <c r="E11" s="530"/>
      <c r="F11" s="530"/>
      <c r="G11" s="531"/>
      <c r="H11" s="45">
        <f>H6+H10</f>
        <v>3139200</v>
      </c>
      <c r="I11" s="112"/>
      <c r="J11" s="13"/>
      <c r="K11" s="13"/>
      <c r="L11" s="24"/>
      <c r="M11" s="24"/>
    </row>
    <row r="12" spans="2:15" ht="30.75" customHeight="1" x14ac:dyDescent="0.2">
      <c r="B12" s="503" t="s">
        <v>12</v>
      </c>
      <c r="C12" s="486"/>
      <c r="D12" s="486"/>
      <c r="E12" s="486"/>
      <c r="F12" s="486"/>
      <c r="G12" s="487"/>
      <c r="H12" s="22">
        <f>ROUNDDOWN(H11/2,-3)</f>
        <v>1569000</v>
      </c>
      <c r="I12" s="46" t="s">
        <v>170</v>
      </c>
      <c r="J12" s="13"/>
      <c r="K12" s="14"/>
      <c r="L12" s="13"/>
      <c r="M12" s="24"/>
    </row>
    <row r="13" spans="2:15" ht="30.75" customHeight="1" x14ac:dyDescent="0.2">
      <c r="B13" s="503" t="s">
        <v>24</v>
      </c>
      <c r="C13" s="486"/>
      <c r="D13" s="486"/>
      <c r="E13" s="486"/>
      <c r="F13" s="486"/>
      <c r="G13" s="487"/>
      <c r="H13" s="22">
        <f>ROUNDDOWN(SUM(H11:H12),-4)</f>
        <v>4700000</v>
      </c>
      <c r="I13" s="46" t="s">
        <v>171</v>
      </c>
      <c r="J13" s="13"/>
      <c r="M13" s="13"/>
    </row>
    <row r="14" spans="2:15" ht="28" customHeight="1" x14ac:dyDescent="0.2">
      <c r="B14" s="496" t="s">
        <v>157</v>
      </c>
      <c r="C14" s="496"/>
      <c r="D14" s="496"/>
      <c r="E14" s="496"/>
      <c r="F14" s="496"/>
      <c r="G14" s="496"/>
      <c r="H14" s="66">
        <f>ROUNDDOWN(H13*0.1,0)</f>
        <v>470000</v>
      </c>
      <c r="I14" s="65"/>
      <c r="J14" s="13"/>
    </row>
    <row r="15" spans="2:15" ht="23.25" customHeight="1" x14ac:dyDescent="0.2">
      <c r="B15" s="562" t="s">
        <v>158</v>
      </c>
      <c r="C15" s="562"/>
      <c r="D15" s="562"/>
      <c r="E15" s="562"/>
      <c r="F15" s="562"/>
      <c r="G15" s="562"/>
      <c r="H15" s="66">
        <f>H13+H14</f>
        <v>5170000</v>
      </c>
      <c r="I15" s="65"/>
      <c r="J15" s="13"/>
    </row>
    <row r="16" spans="2:15" ht="21.75" customHeight="1" x14ac:dyDescent="0.2">
      <c r="B16" s="13"/>
      <c r="J16" s="13"/>
    </row>
    <row r="17" spans="2:13" ht="21.75" customHeight="1" x14ac:dyDescent="0.2">
      <c r="B17" s="13"/>
      <c r="J17" s="13"/>
      <c r="L17" s="4"/>
    </row>
    <row r="18" spans="2:13" ht="21.75" customHeight="1" x14ac:dyDescent="0.2">
      <c r="B18" s="13"/>
      <c r="M18" s="4"/>
    </row>
    <row r="19" spans="2:13" ht="21.75" customHeight="1" x14ac:dyDescent="0.2">
      <c r="B19" s="13"/>
    </row>
    <row r="20" spans="2:13" ht="19.5" customHeight="1" x14ac:dyDescent="0.2"/>
    <row r="21" spans="2:13" ht="19.5" customHeight="1" x14ac:dyDescent="0.2">
      <c r="C21" t="s">
        <v>14</v>
      </c>
      <c r="D21" s="6" t="str">
        <f>IF(H12&lt;D26,"○")</f>
        <v>○</v>
      </c>
    </row>
    <row r="22" spans="2:13" ht="19.5" customHeight="1" x14ac:dyDescent="0.2">
      <c r="B22" s="9" t="s">
        <v>31</v>
      </c>
      <c r="C22" t="s">
        <v>15</v>
      </c>
      <c r="D22" s="7">
        <f>ROUND(D24*D23^D25,1)</f>
        <v>52.6</v>
      </c>
      <c r="E22"/>
    </row>
    <row r="23" spans="2:13" ht="19.5" customHeight="1" x14ac:dyDescent="0.2">
      <c r="B23" s="9" t="s">
        <v>16</v>
      </c>
      <c r="C23" t="s">
        <v>17</v>
      </c>
      <c r="D23" s="6">
        <f>SUM(H11)</f>
        <v>3139200</v>
      </c>
      <c r="E23"/>
    </row>
    <row r="24" spans="2:13" x14ac:dyDescent="0.2">
      <c r="C24" t="s">
        <v>32</v>
      </c>
      <c r="D24" s="8">
        <v>285.3</v>
      </c>
      <c r="E24"/>
    </row>
    <row r="25" spans="2:13" x14ac:dyDescent="0.2">
      <c r="C25" t="s">
        <v>33</v>
      </c>
      <c r="D25" s="11">
        <v>-0.113</v>
      </c>
      <c r="E25"/>
    </row>
    <row r="26" spans="2:13" x14ac:dyDescent="0.2">
      <c r="C26" t="s">
        <v>18</v>
      </c>
      <c r="D26" s="6">
        <f>D23*(D22/100)</f>
        <v>1651219.2000000002</v>
      </c>
      <c r="E26"/>
    </row>
    <row r="27" spans="2:13" x14ac:dyDescent="0.2">
      <c r="B27" s="4"/>
      <c r="C27" t="s">
        <v>19</v>
      </c>
      <c r="D27" s="8">
        <f>H12*100/D23</f>
        <v>49.980886850152906</v>
      </c>
      <c r="E27"/>
    </row>
  </sheetData>
  <mergeCells count="8">
    <mergeCell ref="K4:L4"/>
    <mergeCell ref="B7:B9"/>
    <mergeCell ref="C7:C9"/>
    <mergeCell ref="B14:G14"/>
    <mergeCell ref="B15:G15"/>
    <mergeCell ref="B11:G11"/>
    <mergeCell ref="B12:G12"/>
    <mergeCell ref="B13:G13"/>
  </mergeCells>
  <phoneticPr fontId="7"/>
  <pageMargins left="0.6692913385826772" right="0.19685039370078741" top="1.1023622047244095" bottom="0.98425196850393704" header="0.51181102362204722" footer="0.51181102362204722"/>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DD981-2E9E-4A84-B2CD-1954E4B30A0D}">
  <dimension ref="B2:N24"/>
  <sheetViews>
    <sheetView workbookViewId="0"/>
  </sheetViews>
  <sheetFormatPr defaultColWidth="9" defaultRowHeight="13" x14ac:dyDescent="0.2"/>
  <cols>
    <col min="1" max="1" width="1.6328125" style="13" customWidth="1"/>
    <col min="2" max="2" width="12.90625" style="13" customWidth="1"/>
    <col min="3" max="3" width="15.08984375" style="13" bestFit="1" customWidth="1"/>
    <col min="4" max="4" width="11" style="14" bestFit="1" customWidth="1"/>
    <col min="5" max="5" width="5.90625" style="13" customWidth="1"/>
    <col min="6" max="6" width="6.08984375" style="15" customWidth="1"/>
    <col min="7" max="7" width="10.90625" style="14" customWidth="1"/>
    <col min="8" max="8" width="28.36328125" style="13" bestFit="1" customWidth="1"/>
    <col min="9" max="9" width="1.90625" style="13" customWidth="1"/>
    <col min="10" max="10" width="11.08984375" style="13" bestFit="1" customWidth="1"/>
    <col min="11" max="11" width="13.453125" style="13" customWidth="1"/>
    <col min="12" max="16384" width="9" style="13"/>
  </cols>
  <sheetData>
    <row r="2" spans="2:14" s="1" customFormat="1" ht="16.5" x14ac:dyDescent="0.2">
      <c r="B2" s="27" t="s">
        <v>165</v>
      </c>
      <c r="D2" s="2"/>
      <c r="F2" s="3"/>
      <c r="G2" s="2"/>
    </row>
    <row r="3" spans="2:14" ht="13.5" thickBot="1" x14ac:dyDescent="0.25">
      <c r="H3" s="16"/>
    </row>
    <row r="4" spans="2:14" s="15" customFormat="1" ht="20.25" customHeight="1" thickBot="1" x14ac:dyDescent="0.25">
      <c r="B4" s="115" t="s">
        <v>0</v>
      </c>
      <c r="C4" s="117" t="s">
        <v>1</v>
      </c>
      <c r="D4" s="86" t="s">
        <v>2</v>
      </c>
      <c r="E4" s="117" t="s">
        <v>3</v>
      </c>
      <c r="F4" s="117" t="s">
        <v>4</v>
      </c>
      <c r="G4" s="86" t="s">
        <v>5</v>
      </c>
      <c r="H4" s="87" t="s">
        <v>6</v>
      </c>
    </row>
    <row r="5" spans="2:14" ht="44.25" customHeight="1" x14ac:dyDescent="0.2">
      <c r="B5" s="522" t="s">
        <v>39</v>
      </c>
      <c r="C5" s="496" t="s">
        <v>137</v>
      </c>
      <c r="D5" s="118">
        <f>単価!E16</f>
        <v>3480</v>
      </c>
      <c r="E5" s="119">
        <v>5</v>
      </c>
      <c r="F5" s="117" t="s">
        <v>34</v>
      </c>
      <c r="G5" s="118">
        <f>+D5*E5</f>
        <v>17400</v>
      </c>
      <c r="H5" s="120" t="str">
        <f>単価!G16</f>
        <v>丸太町～福知山（往復）</v>
      </c>
      <c r="L5" s="14"/>
    </row>
    <row r="6" spans="2:14" ht="44.25" customHeight="1" x14ac:dyDescent="0.2">
      <c r="B6" s="535"/>
      <c r="C6" s="496"/>
      <c r="D6" s="22">
        <f>単価!E17</f>
        <v>1460</v>
      </c>
      <c r="E6" s="21">
        <v>5</v>
      </c>
      <c r="F6" s="23" t="s">
        <v>34</v>
      </c>
      <c r="G6" s="22">
        <f t="shared" ref="G6" si="0">+D6*E6</f>
        <v>7300</v>
      </c>
      <c r="H6" s="121" t="str">
        <f>単価!G17</f>
        <v>丸太町～園部（往復）</v>
      </c>
      <c r="L6" s="14"/>
    </row>
    <row r="7" spans="2:14" ht="44.25" customHeight="1" x14ac:dyDescent="0.2">
      <c r="B7" s="563"/>
      <c r="C7" s="23" t="s">
        <v>167</v>
      </c>
      <c r="D7" s="22">
        <v>25300</v>
      </c>
      <c r="E7" s="21">
        <v>1</v>
      </c>
      <c r="F7" s="23" t="s">
        <v>166</v>
      </c>
      <c r="G7" s="22">
        <f>+D7*E7</f>
        <v>25300</v>
      </c>
      <c r="H7" s="121"/>
      <c r="L7" s="14"/>
    </row>
    <row r="8" spans="2:14" ht="22.5" customHeight="1" thickBot="1" x14ac:dyDescent="0.25">
      <c r="B8" s="116" t="s">
        <v>24</v>
      </c>
      <c r="C8" s="29"/>
      <c r="D8" s="30"/>
      <c r="E8" s="29"/>
      <c r="F8" s="31"/>
      <c r="G8" s="30">
        <f>SUM(G5:G7)</f>
        <v>50000</v>
      </c>
      <c r="H8" s="32"/>
      <c r="J8" s="14"/>
      <c r="K8" s="26"/>
      <c r="L8" s="26"/>
      <c r="M8" s="24"/>
    </row>
    <row r="9" spans="2:14" x14ac:dyDescent="0.2">
      <c r="B9" s="238"/>
      <c r="K9" s="14"/>
      <c r="L9" s="24"/>
    </row>
    <row r="11" spans="2:14" x14ac:dyDescent="0.2">
      <c r="L11" s="24"/>
    </row>
    <row r="12" spans="2:14" x14ac:dyDescent="0.2">
      <c r="L12" s="25"/>
      <c r="M12" s="25"/>
      <c r="N12" s="25"/>
    </row>
    <row r="16" spans="2:14" x14ac:dyDescent="0.2">
      <c r="L16" s="14"/>
    </row>
    <row r="17" spans="4:12" ht="44.25" customHeight="1" x14ac:dyDescent="0.2">
      <c r="D17" s="13"/>
      <c r="F17" s="13"/>
      <c r="G17" s="13"/>
      <c r="L17" s="14"/>
    </row>
    <row r="24" spans="4:12" x14ac:dyDescent="0.2">
      <c r="K24" s="14"/>
    </row>
  </sheetData>
  <mergeCells count="2">
    <mergeCell ref="C5:C6"/>
    <mergeCell ref="B5:B7"/>
  </mergeCells>
  <phoneticPr fontId="7"/>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7C5FD-912F-4117-AA42-5026F81E2B24}">
  <sheetPr>
    <tabColor rgb="FF0070C0"/>
  </sheetPr>
  <dimension ref="A1:K364"/>
  <sheetViews>
    <sheetView workbookViewId="0">
      <selection sqref="A1:I1"/>
    </sheetView>
  </sheetViews>
  <sheetFormatPr defaultColWidth="9" defaultRowHeight="13" outlineLevelCol="1" x14ac:dyDescent="0.2"/>
  <cols>
    <col min="1" max="3" width="36" style="149" bestFit="1" customWidth="1"/>
    <col min="4" max="5" width="36" style="149" hidden="1" customWidth="1" outlineLevel="1"/>
    <col min="6" max="6" width="12.453125" style="149" hidden="1" customWidth="1" outlineLevel="1"/>
    <col min="7" max="7" width="36" style="149" hidden="1" customWidth="1" outlineLevel="1"/>
    <col min="8" max="8" width="13.90625" style="149" hidden="1" customWidth="1" outlineLevel="1"/>
    <col min="9" max="9" width="13.26953125" style="216" customWidth="1" collapsed="1"/>
    <col min="10" max="10" width="16.36328125" style="227" customWidth="1"/>
    <col min="11" max="11" width="9" style="237"/>
    <col min="12" max="16384" width="9" style="149"/>
  </cols>
  <sheetData>
    <row r="1" spans="1:11" x14ac:dyDescent="0.2">
      <c r="A1" s="406" t="s">
        <v>198</v>
      </c>
      <c r="B1" s="407"/>
      <c r="C1" s="407"/>
      <c r="D1" s="407"/>
      <c r="E1" s="407"/>
      <c r="F1" s="407"/>
      <c r="G1" s="407"/>
      <c r="H1" s="407"/>
      <c r="I1" s="407"/>
    </row>
    <row r="2" spans="1:11" x14ac:dyDescent="0.2">
      <c r="A2" s="467" t="s">
        <v>199</v>
      </c>
      <c r="B2" s="407"/>
      <c r="C2" s="407"/>
      <c r="D2" s="407"/>
      <c r="E2" s="407"/>
      <c r="F2" s="407"/>
      <c r="G2" s="407"/>
      <c r="H2" s="407"/>
      <c r="I2" s="407"/>
    </row>
    <row r="3" spans="1:11" x14ac:dyDescent="0.2">
      <c r="A3" s="415" t="s">
        <v>200</v>
      </c>
      <c r="B3" s="407"/>
      <c r="C3" s="407"/>
      <c r="D3" s="407"/>
      <c r="E3" s="407"/>
      <c r="F3" s="407"/>
      <c r="G3" s="407"/>
      <c r="H3" s="407"/>
      <c r="I3" s="407"/>
    </row>
    <row r="4" spans="1:11" x14ac:dyDescent="0.2">
      <c r="A4" s="406" t="s">
        <v>201</v>
      </c>
      <c r="B4" s="407"/>
      <c r="C4" s="407"/>
      <c r="D4" s="407"/>
      <c r="E4" s="407"/>
      <c r="F4" s="407"/>
      <c r="G4" s="407"/>
      <c r="H4" s="407"/>
      <c r="I4" s="407"/>
    </row>
    <row r="5" spans="1:11" ht="13.5" thickBot="1" x14ac:dyDescent="0.25">
      <c r="A5" s="415" t="s">
        <v>202</v>
      </c>
      <c r="B5" s="407"/>
      <c r="C5" s="407"/>
      <c r="D5" s="407"/>
      <c r="E5" s="407"/>
      <c r="F5" s="407"/>
      <c r="G5" s="407"/>
      <c r="H5" s="407"/>
      <c r="I5" s="407"/>
    </row>
    <row r="6" spans="1:11" x14ac:dyDescent="0.2">
      <c r="A6" s="468" t="s">
        <v>203</v>
      </c>
      <c r="B6" s="468" t="s">
        <v>204</v>
      </c>
    </row>
    <row r="7" spans="1:11" ht="13.5" thickBot="1" x14ac:dyDescent="0.25">
      <c r="A7" s="469"/>
      <c r="B7" s="469"/>
    </row>
    <row r="8" spans="1:11" ht="14.5" thickBot="1" x14ac:dyDescent="0.25">
      <c r="A8" s="150" t="s">
        <v>205</v>
      </c>
      <c r="B8" s="151" t="s">
        <v>206</v>
      </c>
    </row>
    <row r="9" spans="1:11" x14ac:dyDescent="0.2">
      <c r="A9" s="424" t="s">
        <v>207</v>
      </c>
      <c r="B9" s="407"/>
      <c r="C9" s="407"/>
      <c r="D9" s="407"/>
      <c r="E9" s="407"/>
      <c r="F9" s="407"/>
      <c r="G9" s="407"/>
      <c r="H9" s="407"/>
      <c r="I9" s="407"/>
    </row>
    <row r="10" spans="1:11" x14ac:dyDescent="0.2">
      <c r="A10" s="152" t="s">
        <v>208</v>
      </c>
    </row>
    <row r="11" spans="1:11" x14ac:dyDescent="0.2">
      <c r="A11" s="415" t="s">
        <v>209</v>
      </c>
      <c r="B11" s="407"/>
      <c r="C11" s="407"/>
      <c r="D11" s="407"/>
      <c r="E11" s="407"/>
      <c r="F11" s="407"/>
      <c r="G11" s="407"/>
      <c r="H11" s="407"/>
      <c r="I11" s="407"/>
    </row>
    <row r="12" spans="1:11" ht="13.5" thickBot="1" x14ac:dyDescent="0.25">
      <c r="A12" s="415" t="s">
        <v>210</v>
      </c>
      <c r="B12" s="407"/>
      <c r="C12" s="407"/>
      <c r="D12" s="407"/>
      <c r="E12" s="407"/>
      <c r="F12" s="407"/>
      <c r="G12" s="407"/>
      <c r="H12" s="407"/>
      <c r="I12" s="407"/>
    </row>
    <row r="13" spans="1:11" ht="14.5" thickBot="1" x14ac:dyDescent="0.25">
      <c r="A13" s="431"/>
      <c r="B13" s="459"/>
      <c r="C13" s="460" t="s">
        <v>211</v>
      </c>
      <c r="D13" s="462" t="s">
        <v>212</v>
      </c>
      <c r="E13" s="463"/>
      <c r="F13" s="464"/>
      <c r="G13" s="153"/>
      <c r="H13" s="154"/>
    </row>
    <row r="14" spans="1:11" ht="14.5" thickBot="1" x14ac:dyDescent="0.25">
      <c r="A14" s="465" t="s">
        <v>213</v>
      </c>
      <c r="B14" s="466"/>
      <c r="C14" s="461"/>
      <c r="D14" s="155" t="s">
        <v>214</v>
      </c>
      <c r="E14" s="156" t="s">
        <v>215</v>
      </c>
      <c r="F14" s="157" t="s">
        <v>216</v>
      </c>
      <c r="G14" s="158" t="s">
        <v>217</v>
      </c>
      <c r="H14" s="155" t="s">
        <v>218</v>
      </c>
      <c r="J14" s="222" t="s">
        <v>476</v>
      </c>
      <c r="K14" s="237" t="s">
        <v>503</v>
      </c>
    </row>
    <row r="15" spans="1:11" ht="15" thickTop="1" thickBot="1" x14ac:dyDescent="0.25">
      <c r="A15" s="448" t="s">
        <v>219</v>
      </c>
      <c r="B15" s="449"/>
      <c r="C15" s="159">
        <v>8388000</v>
      </c>
      <c r="D15" s="159">
        <v>6694000</v>
      </c>
      <c r="E15" s="159">
        <v>1694000</v>
      </c>
      <c r="F15" s="160"/>
      <c r="G15" s="450"/>
      <c r="H15" s="453"/>
      <c r="I15" s="256">
        <f>SUM(I16:I19)</f>
        <v>8388000</v>
      </c>
      <c r="J15" s="257">
        <f>C15-I15</f>
        <v>0</v>
      </c>
      <c r="K15" s="259"/>
    </row>
    <row r="16" spans="1:11" ht="14.5" thickBot="1" x14ac:dyDescent="0.25">
      <c r="A16" s="412"/>
      <c r="B16" s="161" t="s">
        <v>220</v>
      </c>
      <c r="C16" s="159">
        <v>100000</v>
      </c>
      <c r="D16" s="159">
        <v>100000</v>
      </c>
      <c r="E16" s="162"/>
      <c r="F16" s="160"/>
      <c r="G16" s="451"/>
      <c r="H16" s="454"/>
      <c r="I16" s="216">
        <f>ア【計画評価】①事務費_2P!G8+'ア【計画評価】②委託 _2P'!H32+ア【計画評価】③④事務費_2P!G8</f>
        <v>5055000</v>
      </c>
      <c r="J16" s="222">
        <f t="shared" ref="J16:J33" si="0">C16-I16</f>
        <v>-4955000</v>
      </c>
    </row>
    <row r="17" spans="1:11" ht="14.5" thickBot="1" x14ac:dyDescent="0.25">
      <c r="A17" s="412"/>
      <c r="B17" s="163" t="s">
        <v>221</v>
      </c>
      <c r="C17" s="159">
        <v>8088000</v>
      </c>
      <c r="D17" s="159">
        <v>6394000</v>
      </c>
      <c r="E17" s="159">
        <v>1694000</v>
      </c>
      <c r="F17" s="160"/>
      <c r="G17" s="451"/>
      <c r="H17" s="454"/>
      <c r="I17" s="216">
        <f>'ア【計画評価】【積算】②Ｒ5 予算書_シカ_1P'!I22</f>
        <v>3333000</v>
      </c>
      <c r="J17" s="222">
        <f t="shared" si="0"/>
        <v>4755000</v>
      </c>
    </row>
    <row r="18" spans="1:11" ht="14.5" thickBot="1" x14ac:dyDescent="0.25">
      <c r="A18" s="412"/>
      <c r="B18" s="163" t="s">
        <v>222</v>
      </c>
      <c r="C18" s="159">
        <v>100000</v>
      </c>
      <c r="D18" s="159">
        <v>100000</v>
      </c>
      <c r="E18" s="162"/>
      <c r="F18" s="160"/>
      <c r="G18" s="451"/>
      <c r="H18" s="454"/>
      <c r="J18" s="222">
        <f t="shared" si="0"/>
        <v>100000</v>
      </c>
    </row>
    <row r="19" spans="1:11" ht="14.5" thickBot="1" x14ac:dyDescent="0.25">
      <c r="A19" s="413"/>
      <c r="B19" s="163" t="s">
        <v>223</v>
      </c>
      <c r="C19" s="159">
        <v>100000</v>
      </c>
      <c r="D19" s="159">
        <v>100000</v>
      </c>
      <c r="E19" s="162"/>
      <c r="F19" s="160"/>
      <c r="G19" s="452"/>
      <c r="H19" s="454"/>
      <c r="J19" s="222">
        <f t="shared" si="0"/>
        <v>100000</v>
      </c>
    </row>
    <row r="20" spans="1:11" ht="14.5" thickBot="1" x14ac:dyDescent="0.25">
      <c r="A20" s="442" t="s">
        <v>224</v>
      </c>
      <c r="B20" s="443"/>
      <c r="C20" s="159">
        <v>1000000</v>
      </c>
      <c r="D20" s="159">
        <v>500000</v>
      </c>
      <c r="E20" s="159">
        <v>500000</v>
      </c>
      <c r="F20" s="160"/>
      <c r="G20" s="456" t="s">
        <v>225</v>
      </c>
      <c r="H20" s="454"/>
      <c r="I20" s="256">
        <f>SUM(I21:I22)</f>
        <v>1000000</v>
      </c>
      <c r="J20" s="257">
        <f>C20-I20</f>
        <v>0</v>
      </c>
      <c r="K20" s="259"/>
    </row>
    <row r="21" spans="1:11" ht="14.5" thickBot="1" x14ac:dyDescent="0.25">
      <c r="A21" s="412"/>
      <c r="B21" s="161" t="s">
        <v>226</v>
      </c>
      <c r="C21" s="159">
        <v>1000000</v>
      </c>
      <c r="D21" s="159">
        <v>500000</v>
      </c>
      <c r="E21" s="159">
        <v>500000</v>
      </c>
      <c r="F21" s="160"/>
      <c r="G21" s="457"/>
      <c r="H21" s="454"/>
      <c r="I21" s="223">
        <f>イ【捕獲】舞鶴市神崎_3P!H16+イ【捕獲_事務費】舞鶴市神崎_4P!H7</f>
        <v>1000000</v>
      </c>
      <c r="J21" s="222">
        <f t="shared" si="0"/>
        <v>0</v>
      </c>
    </row>
    <row r="22" spans="1:11" ht="14.5" thickBot="1" x14ac:dyDescent="0.25">
      <c r="A22" s="413"/>
      <c r="B22" s="163" t="s">
        <v>227</v>
      </c>
      <c r="C22" s="162"/>
      <c r="D22" s="162"/>
      <c r="E22" s="162"/>
      <c r="F22" s="160"/>
      <c r="G22" s="458"/>
      <c r="H22" s="454"/>
      <c r="I22" s="223"/>
      <c r="J22" s="222">
        <f t="shared" si="0"/>
        <v>0</v>
      </c>
    </row>
    <row r="23" spans="1:11" ht="14.5" thickBot="1" x14ac:dyDescent="0.25">
      <c r="A23" s="442" t="s">
        <v>228</v>
      </c>
      <c r="B23" s="443"/>
      <c r="C23" s="159">
        <v>10000000</v>
      </c>
      <c r="D23" s="159">
        <v>10000000</v>
      </c>
      <c r="E23" s="162"/>
      <c r="F23" s="160"/>
      <c r="G23" s="164"/>
      <c r="H23" s="454"/>
      <c r="I23" s="258">
        <f>SUM(I24:I26)</f>
        <v>10000000</v>
      </c>
      <c r="J23" s="257">
        <f>C23-I23</f>
        <v>0</v>
      </c>
      <c r="K23" s="259">
        <v>760000</v>
      </c>
    </row>
    <row r="24" spans="1:11" ht="26.5" thickBot="1" x14ac:dyDescent="0.25">
      <c r="A24" s="412"/>
      <c r="B24" s="161" t="s">
        <v>229</v>
      </c>
      <c r="C24" s="162"/>
      <c r="D24" s="162"/>
      <c r="E24" s="162"/>
      <c r="F24" s="160"/>
      <c r="G24" s="164" t="s">
        <v>230</v>
      </c>
      <c r="H24" s="454"/>
      <c r="I24" s="223"/>
      <c r="J24" s="222">
        <f t="shared" si="0"/>
        <v>0</v>
      </c>
    </row>
    <row r="25" spans="1:11" ht="14.5" thickBot="1" x14ac:dyDescent="0.25">
      <c r="A25" s="412"/>
      <c r="B25" s="163" t="s">
        <v>231</v>
      </c>
      <c r="C25" s="159">
        <v>10000000</v>
      </c>
      <c r="D25" s="159">
        <v>10000000</v>
      </c>
      <c r="E25" s="162"/>
      <c r="F25" s="160"/>
      <c r="G25" s="165"/>
      <c r="H25" s="454"/>
      <c r="I25" s="223">
        <f>ウ_【効果捕獲】_6P!H19+ウ_【効果捕獲】府事務費_5P!G8</f>
        <v>10000000</v>
      </c>
      <c r="J25" s="222">
        <f t="shared" si="0"/>
        <v>0</v>
      </c>
    </row>
    <row r="26" spans="1:11" ht="14.5" thickBot="1" x14ac:dyDescent="0.25">
      <c r="A26" s="413"/>
      <c r="B26" s="163" t="s">
        <v>232</v>
      </c>
      <c r="C26" s="162"/>
      <c r="D26" s="162"/>
      <c r="E26" s="162"/>
      <c r="F26" s="160"/>
      <c r="G26" s="166"/>
      <c r="H26" s="454"/>
      <c r="J26" s="222">
        <f t="shared" si="0"/>
        <v>0</v>
      </c>
    </row>
    <row r="27" spans="1:11" ht="25.5" thickBot="1" x14ac:dyDescent="0.25">
      <c r="A27" s="440" t="s">
        <v>233</v>
      </c>
      <c r="B27" s="441"/>
      <c r="C27" s="162"/>
      <c r="D27" s="162"/>
      <c r="E27" s="162"/>
      <c r="F27" s="160"/>
      <c r="G27" s="167" t="s">
        <v>234</v>
      </c>
      <c r="H27" s="454"/>
      <c r="J27" s="222">
        <f t="shared" si="0"/>
        <v>0</v>
      </c>
    </row>
    <row r="28" spans="1:11" ht="25.5" thickBot="1" x14ac:dyDescent="0.25">
      <c r="A28" s="440" t="s">
        <v>235</v>
      </c>
      <c r="B28" s="441"/>
      <c r="C28" s="162"/>
      <c r="D28" s="162"/>
      <c r="E28" s="162"/>
      <c r="F28" s="160"/>
      <c r="G28" s="167" t="s">
        <v>234</v>
      </c>
      <c r="H28" s="454"/>
      <c r="J28" s="222">
        <f t="shared" si="0"/>
        <v>0</v>
      </c>
    </row>
    <row r="29" spans="1:11" ht="53.5" thickBot="1" x14ac:dyDescent="0.25">
      <c r="A29" s="442" t="s">
        <v>236</v>
      </c>
      <c r="B29" s="443"/>
      <c r="C29" s="159">
        <v>6500000</v>
      </c>
      <c r="D29" s="159">
        <v>6500000</v>
      </c>
      <c r="E29" s="162"/>
      <c r="F29" s="160"/>
      <c r="G29" s="164" t="s">
        <v>237</v>
      </c>
      <c r="H29" s="454"/>
      <c r="I29" s="256">
        <f>SUM(I30:I31)</f>
        <v>6500000</v>
      </c>
      <c r="J29" s="257">
        <f>C29-I29</f>
        <v>0</v>
      </c>
      <c r="K29" s="259"/>
    </row>
    <row r="30" spans="1:11" ht="40.5" thickBot="1" x14ac:dyDescent="0.25">
      <c r="A30" s="412"/>
      <c r="B30" s="161" t="s">
        <v>238</v>
      </c>
      <c r="C30" s="159">
        <v>4500000</v>
      </c>
      <c r="D30" s="159">
        <v>4500000</v>
      </c>
      <c r="E30" s="162"/>
      <c r="F30" s="160"/>
      <c r="G30" s="164" t="s">
        <v>239</v>
      </c>
      <c r="H30" s="454"/>
      <c r="I30" s="216">
        <f>カ_【ジビエ】捕獲_7P!H5</f>
        <v>6120000</v>
      </c>
      <c r="J30" s="222">
        <f t="shared" si="0"/>
        <v>-1620000</v>
      </c>
    </row>
    <row r="31" spans="1:11" ht="27.5" thickBot="1" x14ac:dyDescent="0.25">
      <c r="A31" s="412"/>
      <c r="B31" s="168" t="s">
        <v>240</v>
      </c>
      <c r="C31" s="169">
        <v>2000000</v>
      </c>
      <c r="D31" s="169">
        <v>2000000</v>
      </c>
      <c r="E31" s="170"/>
      <c r="F31" s="171"/>
      <c r="G31" s="165"/>
      <c r="H31" s="454"/>
      <c r="I31" s="216">
        <f>カ_【ジビエ】捕獲_7P!H13+'カ_【ジビエ】捕獲府事務費 _8P'!G8</f>
        <v>380000</v>
      </c>
      <c r="J31" s="222">
        <f t="shared" si="0"/>
        <v>1620000</v>
      </c>
    </row>
    <row r="32" spans="1:11" ht="14.5" thickBot="1" x14ac:dyDescent="0.25">
      <c r="A32" s="412"/>
      <c r="B32" s="168" t="s">
        <v>241</v>
      </c>
      <c r="C32" s="172"/>
      <c r="D32" s="172"/>
      <c r="E32" s="172"/>
      <c r="F32" s="171"/>
      <c r="G32" s="165"/>
      <c r="H32" s="454"/>
      <c r="J32" s="222">
        <f t="shared" si="0"/>
        <v>0</v>
      </c>
    </row>
    <row r="33" spans="1:10" ht="14.5" thickBot="1" x14ac:dyDescent="0.25">
      <c r="A33" s="444"/>
      <c r="B33" s="168" t="s">
        <v>242</v>
      </c>
      <c r="C33" s="172"/>
      <c r="D33" s="172"/>
      <c r="E33" s="172"/>
      <c r="F33" s="171"/>
      <c r="G33" s="173"/>
      <c r="H33" s="455"/>
      <c r="J33" s="222">
        <f t="shared" si="0"/>
        <v>0</v>
      </c>
    </row>
    <row r="34" spans="1:10" ht="13.5" customHeight="1" thickTop="1" thickBot="1" x14ac:dyDescent="0.25">
      <c r="A34" s="445" t="s">
        <v>243</v>
      </c>
      <c r="B34" s="446"/>
      <c r="C34" s="169">
        <v>25888000</v>
      </c>
      <c r="D34" s="169">
        <v>23694000</v>
      </c>
      <c r="E34" s="169">
        <v>2194000</v>
      </c>
      <c r="F34" s="171"/>
      <c r="G34" s="171"/>
      <c r="H34" s="172"/>
      <c r="I34" s="216">
        <f>SUM(I15:I33)</f>
        <v>51776000</v>
      </c>
      <c r="J34" s="222">
        <f>C34-I34</f>
        <v>-25888000</v>
      </c>
    </row>
    <row r="35" spans="1:10" x14ac:dyDescent="0.2">
      <c r="A35" s="447" t="s">
        <v>244</v>
      </c>
      <c r="B35" s="407"/>
      <c r="C35" s="407"/>
      <c r="D35" s="407"/>
      <c r="E35" s="407"/>
      <c r="F35" s="407"/>
      <c r="G35" s="407"/>
      <c r="H35" s="407"/>
      <c r="I35" s="407"/>
    </row>
    <row r="36" spans="1:10" x14ac:dyDescent="0.2">
      <c r="A36" s="447" t="s">
        <v>245</v>
      </c>
      <c r="B36" s="407"/>
      <c r="C36" s="407"/>
      <c r="D36" s="407"/>
      <c r="E36" s="407"/>
      <c r="F36" s="407"/>
      <c r="G36" s="407"/>
      <c r="H36" s="407"/>
      <c r="I36" s="407"/>
    </row>
    <row r="38" spans="1:10" ht="13.5" thickBot="1" x14ac:dyDescent="0.25">
      <c r="A38" s="406" t="s">
        <v>246</v>
      </c>
      <c r="B38" s="407"/>
      <c r="C38" s="407"/>
      <c r="D38" s="407"/>
      <c r="E38" s="407"/>
      <c r="F38" s="407"/>
      <c r="G38" s="407"/>
      <c r="H38" s="407"/>
      <c r="I38" s="407"/>
    </row>
    <row r="39" spans="1:10" ht="14" x14ac:dyDescent="0.2">
      <c r="A39" s="174"/>
    </row>
    <row r="40" spans="1:10" ht="13.5" thickBot="1" x14ac:dyDescent="0.25">
      <c r="A40" s="175" t="s">
        <v>247</v>
      </c>
    </row>
    <row r="41" spans="1:10" ht="14" x14ac:dyDescent="0.2">
      <c r="A41" s="176"/>
    </row>
    <row r="42" spans="1:10" ht="13.5" thickBot="1" x14ac:dyDescent="0.25">
      <c r="A42" s="406" t="s">
        <v>248</v>
      </c>
      <c r="B42" s="407"/>
      <c r="C42" s="407"/>
      <c r="D42" s="407"/>
      <c r="E42" s="407"/>
      <c r="F42" s="407"/>
      <c r="G42" s="407"/>
      <c r="H42" s="407"/>
      <c r="I42" s="407"/>
    </row>
    <row r="43" spans="1:10" ht="18.75" customHeight="1" x14ac:dyDescent="0.2">
      <c r="A43" s="177" t="s">
        <v>249</v>
      </c>
      <c r="B43" s="414"/>
    </row>
    <row r="44" spans="1:10" ht="18.75" customHeight="1" x14ac:dyDescent="0.2">
      <c r="A44" s="178" t="s">
        <v>250</v>
      </c>
      <c r="B44" s="414"/>
    </row>
    <row r="45" spans="1:10" ht="18.75" customHeight="1" x14ac:dyDescent="0.2">
      <c r="A45" s="178" t="s">
        <v>251</v>
      </c>
      <c r="B45" s="414"/>
    </row>
    <row r="46" spans="1:10" ht="18.75" customHeight="1" x14ac:dyDescent="0.2">
      <c r="A46" s="178" t="s">
        <v>252</v>
      </c>
      <c r="B46" s="414"/>
    </row>
    <row r="47" spans="1:10" ht="18.75" customHeight="1" x14ac:dyDescent="0.2">
      <c r="A47" s="179"/>
      <c r="B47" s="414"/>
    </row>
    <row r="48" spans="1:10" ht="18.75" customHeight="1" x14ac:dyDescent="0.2">
      <c r="A48" s="178" t="s">
        <v>253</v>
      </c>
      <c r="B48" s="414"/>
    </row>
    <row r="49" spans="1:9" ht="23.15" customHeight="1" thickBot="1" x14ac:dyDescent="0.25">
      <c r="A49" s="175" t="s">
        <v>254</v>
      </c>
      <c r="B49" s="180"/>
    </row>
    <row r="50" spans="1:9" x14ac:dyDescent="0.2">
      <c r="A50" s="424" t="s">
        <v>255</v>
      </c>
      <c r="B50" s="407"/>
      <c r="C50" s="407"/>
      <c r="D50" s="407"/>
      <c r="E50" s="407"/>
      <c r="F50" s="407"/>
      <c r="G50" s="407"/>
      <c r="H50" s="407"/>
      <c r="I50" s="407"/>
    </row>
    <row r="51" spans="1:9" ht="14" x14ac:dyDescent="0.2">
      <c r="A51" s="176"/>
    </row>
    <row r="52" spans="1:9" ht="13.5" thickBot="1" x14ac:dyDescent="0.25">
      <c r="A52" s="406" t="s">
        <v>256</v>
      </c>
      <c r="B52" s="407"/>
      <c r="C52" s="407"/>
      <c r="D52" s="407"/>
      <c r="E52" s="407"/>
      <c r="F52" s="407"/>
      <c r="G52" s="407"/>
      <c r="H52" s="407"/>
      <c r="I52" s="407"/>
    </row>
    <row r="53" spans="1:9" ht="14" x14ac:dyDescent="0.2">
      <c r="A53" s="174"/>
      <c r="B53" s="181"/>
      <c r="C53" s="431"/>
      <c r="D53" s="432"/>
      <c r="E53" s="432"/>
      <c r="F53" s="432"/>
      <c r="G53" s="433"/>
      <c r="H53" s="154"/>
      <c r="I53" s="434" t="s">
        <v>257</v>
      </c>
    </row>
    <row r="54" spans="1:9" ht="13.5" thickBot="1" x14ac:dyDescent="0.25">
      <c r="A54" s="182" t="s">
        <v>258</v>
      </c>
      <c r="B54" s="183" t="s">
        <v>259</v>
      </c>
      <c r="C54" s="435" t="s">
        <v>260</v>
      </c>
      <c r="D54" s="436"/>
      <c r="E54" s="436"/>
      <c r="F54" s="436"/>
      <c r="G54" s="437"/>
      <c r="H54" s="183" t="s">
        <v>261</v>
      </c>
      <c r="I54" s="434"/>
    </row>
    <row r="55" spans="1:9" ht="14" x14ac:dyDescent="0.2">
      <c r="A55" s="179"/>
      <c r="B55" s="184" t="s">
        <v>262</v>
      </c>
      <c r="C55" s="185"/>
      <c r="D55" s="154"/>
      <c r="E55" s="154"/>
      <c r="F55" s="154"/>
      <c r="G55" s="154"/>
      <c r="H55" s="183" t="s">
        <v>263</v>
      </c>
      <c r="I55" s="434"/>
    </row>
    <row r="56" spans="1:9" ht="13.5" thickBot="1" x14ac:dyDescent="0.25">
      <c r="A56" s="186"/>
      <c r="B56" s="187"/>
      <c r="C56" s="151" t="s">
        <v>264</v>
      </c>
      <c r="D56" s="151" t="s">
        <v>264</v>
      </c>
      <c r="E56" s="151" t="s">
        <v>264</v>
      </c>
      <c r="F56" s="151" t="s">
        <v>264</v>
      </c>
      <c r="G56" s="151" t="s">
        <v>264</v>
      </c>
      <c r="H56" s="187"/>
      <c r="I56" s="434"/>
    </row>
    <row r="57" spans="1:9" ht="14" x14ac:dyDescent="0.2">
      <c r="A57" s="188"/>
      <c r="B57" s="438" t="s">
        <v>265</v>
      </c>
      <c r="C57" s="189" t="s">
        <v>266</v>
      </c>
      <c r="D57" s="189" t="s">
        <v>266</v>
      </c>
      <c r="E57" s="189" t="s">
        <v>266</v>
      </c>
      <c r="F57" s="189" t="s">
        <v>266</v>
      </c>
      <c r="G57" s="189" t="s">
        <v>266</v>
      </c>
      <c r="H57" s="438" t="s">
        <v>267</v>
      </c>
      <c r="I57" s="434"/>
    </row>
    <row r="58" spans="1:9" ht="14.5" thickBot="1" x14ac:dyDescent="0.25">
      <c r="A58" s="150" t="s">
        <v>203</v>
      </c>
      <c r="B58" s="439"/>
      <c r="C58" s="190" t="s">
        <v>268</v>
      </c>
      <c r="D58" s="190" t="s">
        <v>268</v>
      </c>
      <c r="E58" s="190" t="s">
        <v>268</v>
      </c>
      <c r="F58" s="190" t="s">
        <v>268</v>
      </c>
      <c r="G58" s="190" t="s">
        <v>268</v>
      </c>
      <c r="H58" s="439"/>
      <c r="I58" s="434"/>
    </row>
    <row r="59" spans="1:9" ht="14" x14ac:dyDescent="0.2">
      <c r="A59" s="188"/>
      <c r="B59" s="411"/>
      <c r="C59" s="411"/>
      <c r="D59" s="411"/>
      <c r="E59" s="411"/>
      <c r="F59" s="411"/>
      <c r="G59" s="411"/>
      <c r="H59" s="411"/>
      <c r="I59" s="434"/>
    </row>
    <row r="60" spans="1:9" ht="13.5" thickBot="1" x14ac:dyDescent="0.25">
      <c r="A60" s="150" t="s">
        <v>205</v>
      </c>
      <c r="B60" s="413"/>
      <c r="C60" s="413"/>
      <c r="D60" s="413"/>
      <c r="E60" s="413"/>
      <c r="F60" s="413"/>
      <c r="G60" s="413"/>
      <c r="H60" s="413"/>
      <c r="I60" s="434"/>
    </row>
    <row r="61" spans="1:9" ht="14" x14ac:dyDescent="0.2">
      <c r="A61" s="176"/>
    </row>
    <row r="62" spans="1:9" ht="14" x14ac:dyDescent="0.2">
      <c r="A62" s="176"/>
    </row>
    <row r="63" spans="1:9" ht="14" x14ac:dyDescent="0.2">
      <c r="A63" s="176"/>
    </row>
    <row r="64" spans="1:9" ht="13.5" thickBot="1" x14ac:dyDescent="0.25">
      <c r="A64" s="406" t="s">
        <v>269</v>
      </c>
      <c r="B64" s="407"/>
      <c r="C64" s="407"/>
      <c r="D64" s="407"/>
      <c r="E64" s="407"/>
      <c r="F64" s="407"/>
      <c r="G64" s="407"/>
      <c r="H64" s="407"/>
      <c r="I64" s="407"/>
    </row>
    <row r="65" spans="1:9" x14ac:dyDescent="0.2">
      <c r="A65" s="177" t="s">
        <v>270</v>
      </c>
      <c r="B65" s="430"/>
    </row>
    <row r="66" spans="1:9" ht="26" x14ac:dyDescent="0.2">
      <c r="A66" s="178" t="s">
        <v>271</v>
      </c>
      <c r="B66" s="430"/>
    </row>
    <row r="67" spans="1:9" ht="14.5" thickBot="1" x14ac:dyDescent="0.25">
      <c r="A67" s="191"/>
      <c r="B67" s="430"/>
    </row>
    <row r="68" spans="1:9" ht="18.75" customHeight="1" x14ac:dyDescent="0.2">
      <c r="A68" s="178" t="s">
        <v>272</v>
      </c>
      <c r="B68" s="414"/>
    </row>
    <row r="69" spans="1:9" ht="18.75" customHeight="1" x14ac:dyDescent="0.2">
      <c r="A69" s="178" t="s">
        <v>273</v>
      </c>
      <c r="B69" s="414"/>
    </row>
    <row r="70" spans="1:9" ht="18.75" customHeight="1" x14ac:dyDescent="0.2">
      <c r="A70" s="179"/>
      <c r="B70" s="414"/>
    </row>
    <row r="71" spans="1:9" ht="18.75" customHeight="1" x14ac:dyDescent="0.2">
      <c r="A71" s="179"/>
      <c r="B71" s="414"/>
    </row>
    <row r="72" spans="1:9" ht="18.75" customHeight="1" x14ac:dyDescent="0.2">
      <c r="A72" s="179"/>
      <c r="B72" s="414"/>
    </row>
    <row r="73" spans="1:9" ht="23.15" customHeight="1" thickBot="1" x14ac:dyDescent="0.25">
      <c r="A73" s="191"/>
      <c r="B73" s="180"/>
    </row>
    <row r="74" spans="1:9" x14ac:dyDescent="0.2">
      <c r="A74" s="424" t="s">
        <v>274</v>
      </c>
      <c r="B74" s="407"/>
      <c r="C74" s="407"/>
      <c r="D74" s="407"/>
      <c r="E74" s="407"/>
      <c r="F74" s="407"/>
      <c r="G74" s="407"/>
      <c r="H74" s="407"/>
      <c r="I74" s="407"/>
    </row>
    <row r="75" spans="1:9" x14ac:dyDescent="0.2">
      <c r="A75" s="418" t="s">
        <v>275</v>
      </c>
      <c r="B75" s="407"/>
      <c r="C75" s="407"/>
      <c r="D75" s="407"/>
      <c r="E75" s="407"/>
      <c r="F75" s="407"/>
      <c r="G75" s="407"/>
      <c r="H75" s="407"/>
      <c r="I75" s="407"/>
    </row>
    <row r="76" spans="1:9" ht="14" x14ac:dyDescent="0.2">
      <c r="A76" s="176"/>
    </row>
    <row r="77" spans="1:9" ht="13.5" thickBot="1" x14ac:dyDescent="0.25">
      <c r="A77" s="406" t="s">
        <v>276</v>
      </c>
      <c r="B77" s="407"/>
      <c r="C77" s="407"/>
      <c r="D77" s="407"/>
      <c r="E77" s="407"/>
      <c r="F77" s="407"/>
      <c r="G77" s="407"/>
      <c r="H77" s="407"/>
      <c r="I77" s="407"/>
    </row>
    <row r="78" spans="1:9" ht="18.75" customHeight="1" x14ac:dyDescent="0.2">
      <c r="A78" s="420" t="s">
        <v>277</v>
      </c>
      <c r="B78" s="414"/>
    </row>
    <row r="79" spans="1:9" ht="18.75" customHeight="1" x14ac:dyDescent="0.2">
      <c r="A79" s="421"/>
      <c r="B79" s="414"/>
    </row>
    <row r="80" spans="1:9" ht="23.15" customHeight="1" thickBot="1" x14ac:dyDescent="0.25">
      <c r="A80" s="422"/>
      <c r="B80" s="180"/>
    </row>
    <row r="81" spans="1:9" x14ac:dyDescent="0.2">
      <c r="A81" s="415" t="s">
        <v>278</v>
      </c>
      <c r="B81" s="407"/>
      <c r="C81" s="407"/>
      <c r="D81" s="407"/>
      <c r="E81" s="407"/>
      <c r="F81" s="407"/>
      <c r="G81" s="407"/>
      <c r="H81" s="407"/>
      <c r="I81" s="407"/>
    </row>
    <row r="82" spans="1:9" x14ac:dyDescent="0.2">
      <c r="A82" s="406" t="s">
        <v>279</v>
      </c>
      <c r="B82" s="407"/>
      <c r="C82" s="407"/>
      <c r="D82" s="407"/>
      <c r="E82" s="407"/>
      <c r="F82" s="407"/>
      <c r="G82" s="407"/>
      <c r="H82" s="407"/>
      <c r="I82" s="407"/>
    </row>
    <row r="83" spans="1:9" ht="13.5" thickBot="1" x14ac:dyDescent="0.25">
      <c r="A83" s="406" t="s">
        <v>280</v>
      </c>
      <c r="B83" s="407"/>
      <c r="C83" s="407"/>
      <c r="D83" s="407"/>
      <c r="E83" s="407"/>
      <c r="F83" s="407"/>
      <c r="G83" s="407"/>
      <c r="H83" s="407"/>
      <c r="I83" s="407"/>
    </row>
    <row r="84" spans="1:9" ht="18.75" customHeight="1" x14ac:dyDescent="0.2">
      <c r="A84" s="177" t="s">
        <v>281</v>
      </c>
      <c r="B84" s="414"/>
    </row>
    <row r="85" spans="1:9" ht="18.75" customHeight="1" x14ac:dyDescent="0.2">
      <c r="A85" s="178" t="s">
        <v>282</v>
      </c>
      <c r="B85" s="414"/>
    </row>
    <row r="86" spans="1:9" ht="23.15" customHeight="1" thickBot="1" x14ac:dyDescent="0.25">
      <c r="A86" s="175" t="s">
        <v>283</v>
      </c>
      <c r="B86" s="180"/>
    </row>
    <row r="87" spans="1:9" x14ac:dyDescent="0.2">
      <c r="A87" s="424" t="s">
        <v>284</v>
      </c>
      <c r="B87" s="407"/>
      <c r="C87" s="407"/>
      <c r="D87" s="407"/>
      <c r="E87" s="407"/>
      <c r="F87" s="407"/>
      <c r="G87" s="407"/>
      <c r="H87" s="407"/>
      <c r="I87" s="407"/>
    </row>
    <row r="88" spans="1:9" x14ac:dyDescent="0.2">
      <c r="A88" s="406" t="s">
        <v>285</v>
      </c>
      <c r="B88" s="407"/>
      <c r="C88" s="407"/>
      <c r="D88" s="407"/>
      <c r="E88" s="407"/>
      <c r="F88" s="407"/>
      <c r="G88" s="407"/>
      <c r="H88" s="407"/>
      <c r="I88" s="407"/>
    </row>
    <row r="89" spans="1:9" ht="14" x14ac:dyDescent="0.2">
      <c r="A89" s="176"/>
    </row>
    <row r="90" spans="1:9" x14ac:dyDescent="0.2">
      <c r="A90" s="406" t="s">
        <v>286</v>
      </c>
      <c r="B90" s="407"/>
      <c r="C90" s="407"/>
      <c r="D90" s="407"/>
      <c r="E90" s="407"/>
      <c r="F90" s="407"/>
      <c r="G90" s="407"/>
      <c r="H90" s="407"/>
      <c r="I90" s="407"/>
    </row>
    <row r="91" spans="1:9" ht="13.5" thickBot="1" x14ac:dyDescent="0.25">
      <c r="A91" s="406" t="s">
        <v>287</v>
      </c>
      <c r="B91" s="407"/>
      <c r="C91" s="407"/>
      <c r="D91" s="407"/>
      <c r="E91" s="407"/>
      <c r="F91" s="407"/>
      <c r="G91" s="407"/>
      <c r="H91" s="407"/>
      <c r="I91" s="407"/>
    </row>
    <row r="92" spans="1:9" ht="14" x14ac:dyDescent="0.2">
      <c r="A92" s="174"/>
      <c r="B92" s="181"/>
      <c r="C92" s="181"/>
      <c r="D92" s="430"/>
    </row>
    <row r="93" spans="1:9" ht="26.5" thickBot="1" x14ac:dyDescent="0.25">
      <c r="A93" s="150" t="s">
        <v>288</v>
      </c>
      <c r="B93" s="151" t="s">
        <v>289</v>
      </c>
      <c r="C93" s="151" t="s">
        <v>290</v>
      </c>
      <c r="D93" s="430"/>
    </row>
    <row r="94" spans="1:9" ht="18.75" customHeight="1" x14ac:dyDescent="0.2">
      <c r="A94" s="178" t="s">
        <v>291</v>
      </c>
      <c r="B94" s="184" t="s">
        <v>292</v>
      </c>
      <c r="C94" s="420" t="s">
        <v>293</v>
      </c>
      <c r="D94" s="414"/>
    </row>
    <row r="95" spans="1:9" ht="18.75" customHeight="1" x14ac:dyDescent="0.2">
      <c r="A95" s="178" t="s">
        <v>294</v>
      </c>
      <c r="B95" s="192"/>
      <c r="C95" s="421"/>
      <c r="D95" s="414"/>
    </row>
    <row r="96" spans="1:9" ht="18.75" customHeight="1" x14ac:dyDescent="0.2">
      <c r="A96" s="179"/>
      <c r="B96" s="184" t="s">
        <v>295</v>
      </c>
      <c r="C96" s="421"/>
      <c r="D96" s="414"/>
    </row>
    <row r="97" spans="1:9" ht="23.15" customHeight="1" thickBot="1" x14ac:dyDescent="0.25">
      <c r="A97" s="191"/>
      <c r="B97" s="187"/>
      <c r="C97" s="422"/>
      <c r="D97" s="180"/>
    </row>
    <row r="98" spans="1:9" x14ac:dyDescent="0.2">
      <c r="A98" s="424" t="s">
        <v>296</v>
      </c>
      <c r="B98" s="407"/>
      <c r="C98" s="407"/>
      <c r="D98" s="407"/>
      <c r="E98" s="407"/>
      <c r="F98" s="407"/>
      <c r="G98" s="407"/>
      <c r="H98" s="407"/>
      <c r="I98" s="407"/>
    </row>
    <row r="99" spans="1:9" x14ac:dyDescent="0.2">
      <c r="A99" s="424" t="s">
        <v>297</v>
      </c>
      <c r="B99" s="407"/>
      <c r="C99" s="407"/>
      <c r="D99" s="407"/>
      <c r="E99" s="407"/>
      <c r="F99" s="407"/>
      <c r="G99" s="407"/>
      <c r="H99" s="407"/>
      <c r="I99" s="407"/>
    </row>
    <row r="100" spans="1:9" x14ac:dyDescent="0.2">
      <c r="A100" s="415" t="s">
        <v>298</v>
      </c>
      <c r="B100" s="407"/>
      <c r="C100" s="407"/>
      <c r="D100" s="407"/>
      <c r="E100" s="407"/>
      <c r="F100" s="407"/>
      <c r="G100" s="407"/>
      <c r="H100" s="407"/>
      <c r="I100" s="407"/>
    </row>
    <row r="101" spans="1:9" ht="14" x14ac:dyDescent="0.2">
      <c r="A101" s="176"/>
    </row>
    <row r="102" spans="1:9" x14ac:dyDescent="0.2">
      <c r="A102" s="406" t="s">
        <v>299</v>
      </c>
      <c r="B102" s="407"/>
      <c r="C102" s="407"/>
      <c r="D102" s="407"/>
      <c r="E102" s="407"/>
      <c r="F102" s="407"/>
      <c r="G102" s="407"/>
      <c r="H102" s="407"/>
      <c r="I102" s="407"/>
    </row>
    <row r="103" spans="1:9" x14ac:dyDescent="0.2">
      <c r="A103" s="406" t="s">
        <v>300</v>
      </c>
      <c r="B103" s="407"/>
      <c r="C103" s="407"/>
      <c r="D103" s="407"/>
      <c r="E103" s="407"/>
      <c r="F103" s="407"/>
      <c r="G103" s="407"/>
      <c r="H103" s="407"/>
      <c r="I103" s="407"/>
    </row>
    <row r="104" spans="1:9" x14ac:dyDescent="0.2">
      <c r="A104" s="406" t="s">
        <v>301</v>
      </c>
      <c r="B104" s="407"/>
      <c r="C104" s="407"/>
      <c r="D104" s="407"/>
      <c r="E104" s="407"/>
      <c r="F104" s="407"/>
      <c r="G104" s="407"/>
      <c r="H104" s="407"/>
      <c r="I104" s="407"/>
    </row>
    <row r="105" spans="1:9" ht="13.5" thickBot="1" x14ac:dyDescent="0.25">
      <c r="A105" s="406" t="s">
        <v>302</v>
      </c>
      <c r="B105" s="407"/>
      <c r="C105" s="407"/>
      <c r="D105" s="407"/>
      <c r="E105" s="407"/>
      <c r="F105" s="407"/>
      <c r="G105" s="407"/>
      <c r="H105" s="407"/>
      <c r="I105" s="407"/>
    </row>
    <row r="106" spans="1:9" ht="14.5" thickBot="1" x14ac:dyDescent="0.25">
      <c r="A106" s="193" t="s">
        <v>303</v>
      </c>
      <c r="B106" s="194" t="s">
        <v>304</v>
      </c>
      <c r="C106" s="194" t="s">
        <v>305</v>
      </c>
      <c r="D106" s="194" t="s">
        <v>306</v>
      </c>
      <c r="E106" s="194" t="s">
        <v>307</v>
      </c>
      <c r="F106" s="194" t="s">
        <v>218</v>
      </c>
      <c r="G106" s="195"/>
    </row>
    <row r="107" spans="1:9" ht="18.75" customHeight="1" x14ac:dyDescent="0.2">
      <c r="A107" s="179"/>
      <c r="B107" s="192"/>
      <c r="C107" s="192"/>
      <c r="D107" s="192"/>
      <c r="E107" s="192"/>
      <c r="F107" s="411"/>
      <c r="G107" s="414"/>
    </row>
    <row r="108" spans="1:9" ht="18.75" customHeight="1" x14ac:dyDescent="0.2">
      <c r="A108" s="178" t="s">
        <v>308</v>
      </c>
      <c r="B108" s="184" t="s">
        <v>309</v>
      </c>
      <c r="C108" s="184" t="s">
        <v>310</v>
      </c>
      <c r="D108" s="184" t="s">
        <v>311</v>
      </c>
      <c r="E108" s="184" t="s">
        <v>312</v>
      </c>
      <c r="F108" s="412"/>
      <c r="G108" s="414"/>
    </row>
    <row r="109" spans="1:9" ht="18.75" customHeight="1" x14ac:dyDescent="0.2">
      <c r="A109" s="179"/>
      <c r="B109" s="184" t="s">
        <v>313</v>
      </c>
      <c r="C109" s="192"/>
      <c r="D109" s="192"/>
      <c r="E109" s="184" t="s">
        <v>314</v>
      </c>
      <c r="F109" s="412"/>
      <c r="G109" s="414"/>
    </row>
    <row r="110" spans="1:9" ht="23.15" customHeight="1" thickBot="1" x14ac:dyDescent="0.25">
      <c r="A110" s="191"/>
      <c r="B110" s="187"/>
      <c r="C110" s="187"/>
      <c r="D110" s="187"/>
      <c r="E110" s="187"/>
      <c r="F110" s="413"/>
      <c r="G110" s="180"/>
    </row>
    <row r="111" spans="1:9" x14ac:dyDescent="0.2">
      <c r="A111" s="424" t="s">
        <v>315</v>
      </c>
      <c r="B111" s="407"/>
      <c r="C111" s="407"/>
      <c r="D111" s="407"/>
      <c r="E111" s="407"/>
      <c r="F111" s="407"/>
      <c r="G111" s="407"/>
      <c r="H111" s="407"/>
      <c r="I111" s="407"/>
    </row>
    <row r="112" spans="1:9" ht="14" x14ac:dyDescent="0.2">
      <c r="A112" s="176"/>
    </row>
    <row r="113" spans="1:9" ht="14" x14ac:dyDescent="0.2">
      <c r="A113" s="176"/>
    </row>
    <row r="114" spans="1:9" ht="14" x14ac:dyDescent="0.2">
      <c r="A114" s="176"/>
    </row>
    <row r="115" spans="1:9" ht="14" x14ac:dyDescent="0.2">
      <c r="A115" s="176"/>
    </row>
    <row r="116" spans="1:9" ht="14" x14ac:dyDescent="0.2">
      <c r="A116" s="176"/>
    </row>
    <row r="117" spans="1:9" ht="14" x14ac:dyDescent="0.2">
      <c r="A117" s="176"/>
    </row>
    <row r="118" spans="1:9" ht="14" x14ac:dyDescent="0.2">
      <c r="A118" s="176"/>
    </row>
    <row r="119" spans="1:9" ht="13.5" thickBot="1" x14ac:dyDescent="0.25">
      <c r="A119" s="406" t="s">
        <v>316</v>
      </c>
      <c r="B119" s="407"/>
      <c r="C119" s="407"/>
      <c r="D119" s="407"/>
      <c r="E119" s="407"/>
      <c r="F119" s="407"/>
      <c r="G119" s="407"/>
      <c r="H119" s="407"/>
      <c r="I119" s="407"/>
    </row>
    <row r="120" spans="1:9" ht="27.5" thickBot="1" x14ac:dyDescent="0.25">
      <c r="A120" s="196" t="s">
        <v>317</v>
      </c>
    </row>
    <row r="121" spans="1:9" x14ac:dyDescent="0.2">
      <c r="A121" s="424" t="s">
        <v>318</v>
      </c>
      <c r="B121" s="407"/>
      <c r="C121" s="407"/>
      <c r="D121" s="407"/>
      <c r="E121" s="407"/>
      <c r="F121" s="407"/>
      <c r="G121" s="407"/>
      <c r="H121" s="407"/>
      <c r="I121" s="407"/>
    </row>
    <row r="122" spans="1:9" ht="14" x14ac:dyDescent="0.2">
      <c r="A122" s="176"/>
    </row>
    <row r="123" spans="1:9" ht="13.5" thickBot="1" x14ac:dyDescent="0.25">
      <c r="A123" s="406" t="s">
        <v>319</v>
      </c>
      <c r="B123" s="407"/>
      <c r="C123" s="407"/>
      <c r="D123" s="407"/>
      <c r="E123" s="407"/>
      <c r="F123" s="407"/>
      <c r="G123" s="407"/>
      <c r="H123" s="407"/>
      <c r="I123" s="407"/>
    </row>
    <row r="124" spans="1:9" ht="14.5" thickBot="1" x14ac:dyDescent="0.25">
      <c r="A124" s="193" t="s">
        <v>320</v>
      </c>
      <c r="B124" s="194" t="s">
        <v>321</v>
      </c>
      <c r="C124" s="194" t="s">
        <v>322</v>
      </c>
      <c r="D124" s="194" t="s">
        <v>218</v>
      </c>
      <c r="E124" s="195"/>
    </row>
    <row r="125" spans="1:9" ht="23.15" customHeight="1" x14ac:dyDescent="0.2">
      <c r="A125" s="197" t="s">
        <v>323</v>
      </c>
      <c r="B125" s="198" t="s">
        <v>324</v>
      </c>
      <c r="C125" s="198" t="s">
        <v>325</v>
      </c>
      <c r="D125" s="411"/>
      <c r="E125" s="180"/>
    </row>
    <row r="126" spans="1:9" ht="23.15" customHeight="1" thickBot="1" x14ac:dyDescent="0.25">
      <c r="A126" s="199" t="s">
        <v>326</v>
      </c>
      <c r="B126" s="200" t="s">
        <v>327</v>
      </c>
      <c r="C126" s="200" t="s">
        <v>328</v>
      </c>
      <c r="D126" s="413"/>
      <c r="E126" s="180"/>
    </row>
    <row r="127" spans="1:9" x14ac:dyDescent="0.2">
      <c r="A127" s="424" t="s">
        <v>329</v>
      </c>
      <c r="B127" s="407"/>
      <c r="C127" s="407"/>
      <c r="D127" s="407"/>
      <c r="E127" s="407"/>
      <c r="F127" s="407"/>
      <c r="G127" s="407"/>
      <c r="H127" s="407"/>
      <c r="I127" s="407"/>
    </row>
    <row r="128" spans="1:9" ht="14" x14ac:dyDescent="0.2">
      <c r="A128" s="176"/>
    </row>
    <row r="129" spans="1:9" ht="13.5" thickBot="1" x14ac:dyDescent="0.25">
      <c r="A129" s="406" t="s">
        <v>330</v>
      </c>
      <c r="B129" s="407"/>
      <c r="C129" s="407"/>
      <c r="D129" s="407"/>
      <c r="E129" s="407"/>
      <c r="F129" s="407"/>
      <c r="G129" s="407"/>
      <c r="H129" s="407"/>
      <c r="I129" s="407"/>
    </row>
    <row r="130" spans="1:9" ht="26.5" thickBot="1" x14ac:dyDescent="0.25">
      <c r="A130" s="193" t="s">
        <v>320</v>
      </c>
      <c r="B130" s="194" t="s">
        <v>321</v>
      </c>
      <c r="C130" s="194" t="s">
        <v>331</v>
      </c>
      <c r="D130" s="194" t="s">
        <v>218</v>
      </c>
      <c r="E130" s="195"/>
    </row>
    <row r="131" spans="1:9" ht="23.15" customHeight="1" x14ac:dyDescent="0.2">
      <c r="A131" s="197" t="s">
        <v>332</v>
      </c>
      <c r="B131" s="428" t="s">
        <v>333</v>
      </c>
      <c r="C131" s="428" t="s">
        <v>334</v>
      </c>
      <c r="D131" s="411"/>
      <c r="E131" s="180"/>
    </row>
    <row r="132" spans="1:9" ht="23.15" customHeight="1" thickBot="1" x14ac:dyDescent="0.25">
      <c r="A132" s="199" t="s">
        <v>335</v>
      </c>
      <c r="B132" s="429"/>
      <c r="C132" s="429"/>
      <c r="D132" s="413"/>
      <c r="E132" s="180"/>
    </row>
    <row r="133" spans="1:9" x14ac:dyDescent="0.2">
      <c r="A133" s="424" t="s">
        <v>336</v>
      </c>
      <c r="B133" s="407"/>
      <c r="C133" s="407"/>
      <c r="D133" s="407"/>
      <c r="E133" s="407"/>
      <c r="F133" s="407"/>
      <c r="G133" s="407"/>
      <c r="H133" s="407"/>
      <c r="I133" s="407"/>
    </row>
    <row r="135" spans="1:9" x14ac:dyDescent="0.2">
      <c r="A135" s="406" t="s">
        <v>337</v>
      </c>
      <c r="B135" s="407"/>
      <c r="C135" s="407"/>
      <c r="D135" s="407"/>
      <c r="E135" s="407"/>
      <c r="F135" s="407"/>
      <c r="G135" s="407"/>
      <c r="H135" s="407"/>
      <c r="I135" s="407"/>
    </row>
    <row r="136" spans="1:9" ht="13.5" thickBot="1" x14ac:dyDescent="0.25">
      <c r="A136" s="406" t="s">
        <v>338</v>
      </c>
      <c r="B136" s="407"/>
      <c r="C136" s="407"/>
      <c r="D136" s="407"/>
      <c r="E136" s="407"/>
      <c r="F136" s="407"/>
      <c r="G136" s="407"/>
      <c r="H136" s="407"/>
      <c r="I136" s="407"/>
    </row>
    <row r="137" spans="1:9" ht="14.5" thickBot="1" x14ac:dyDescent="0.25">
      <c r="A137" s="193" t="s">
        <v>303</v>
      </c>
      <c r="B137" s="194" t="s">
        <v>304</v>
      </c>
      <c r="C137" s="194" t="s">
        <v>305</v>
      </c>
      <c r="D137" s="194" t="s">
        <v>306</v>
      </c>
      <c r="E137" s="194" t="s">
        <v>307</v>
      </c>
      <c r="F137" s="194" t="s">
        <v>218</v>
      </c>
      <c r="G137" s="195"/>
    </row>
    <row r="138" spans="1:9" ht="18.75" customHeight="1" x14ac:dyDescent="0.2">
      <c r="A138" s="425" t="s">
        <v>339</v>
      </c>
      <c r="B138" s="425" t="s">
        <v>340</v>
      </c>
      <c r="C138" s="425" t="s">
        <v>341</v>
      </c>
      <c r="D138" s="192"/>
      <c r="E138" s="192"/>
      <c r="F138" s="411"/>
      <c r="G138" s="414"/>
    </row>
    <row r="139" spans="1:9" ht="18.75" customHeight="1" x14ac:dyDescent="0.2">
      <c r="A139" s="426"/>
      <c r="B139" s="426"/>
      <c r="C139" s="426"/>
      <c r="D139" s="184" t="s">
        <v>342</v>
      </c>
      <c r="E139" s="192"/>
      <c r="F139" s="412"/>
      <c r="G139" s="414"/>
    </row>
    <row r="140" spans="1:9" ht="18.75" customHeight="1" x14ac:dyDescent="0.2">
      <c r="A140" s="426"/>
      <c r="B140" s="426"/>
      <c r="C140" s="426"/>
      <c r="D140" s="184" t="s">
        <v>343</v>
      </c>
      <c r="E140" s="184" t="s">
        <v>344</v>
      </c>
      <c r="F140" s="412"/>
      <c r="G140" s="414"/>
    </row>
    <row r="141" spans="1:9" ht="18.75" customHeight="1" x14ac:dyDescent="0.2">
      <c r="A141" s="426"/>
      <c r="B141" s="426"/>
      <c r="C141" s="426"/>
      <c r="D141" s="192"/>
      <c r="E141" s="192"/>
      <c r="F141" s="412"/>
      <c r="G141" s="414"/>
    </row>
    <row r="142" spans="1:9" ht="23.15" customHeight="1" thickBot="1" x14ac:dyDescent="0.25">
      <c r="A142" s="427"/>
      <c r="B142" s="427"/>
      <c r="C142" s="427"/>
      <c r="D142" s="187"/>
      <c r="E142" s="201"/>
      <c r="F142" s="413"/>
      <c r="G142" s="180"/>
    </row>
    <row r="143" spans="1:9" x14ac:dyDescent="0.2">
      <c r="A143" s="418" t="s">
        <v>345</v>
      </c>
      <c r="B143" s="407"/>
      <c r="C143" s="407"/>
      <c r="D143" s="407"/>
      <c r="E143" s="407"/>
      <c r="F143" s="407"/>
      <c r="G143" s="407"/>
      <c r="H143" s="407"/>
      <c r="I143" s="407"/>
    </row>
    <row r="144" spans="1:9" x14ac:dyDescent="0.2">
      <c r="A144" s="418" t="s">
        <v>346</v>
      </c>
      <c r="B144" s="407"/>
      <c r="C144" s="407"/>
      <c r="D144" s="407"/>
      <c r="E144" s="407"/>
      <c r="F144" s="407"/>
      <c r="G144" s="407"/>
      <c r="H144" s="407"/>
      <c r="I144" s="407"/>
    </row>
    <row r="145" spans="1:9" ht="14" x14ac:dyDescent="0.2">
      <c r="A145" s="176"/>
    </row>
    <row r="146" spans="1:9" ht="13.5" thickBot="1" x14ac:dyDescent="0.25">
      <c r="A146" s="406" t="s">
        <v>347</v>
      </c>
      <c r="B146" s="407"/>
      <c r="C146" s="407"/>
      <c r="D146" s="407"/>
      <c r="E146" s="407"/>
      <c r="F146" s="407"/>
      <c r="G146" s="407"/>
      <c r="H146" s="407"/>
      <c r="I146" s="407"/>
    </row>
    <row r="147" spans="1:9" ht="14.5" thickBot="1" x14ac:dyDescent="0.25">
      <c r="A147" s="193" t="s">
        <v>320</v>
      </c>
      <c r="B147" s="194" t="s">
        <v>321</v>
      </c>
      <c r="C147" s="194" t="s">
        <v>348</v>
      </c>
      <c r="D147" s="195"/>
    </row>
    <row r="148" spans="1:9" ht="23.15" customHeight="1" x14ac:dyDescent="0.2">
      <c r="A148" s="178" t="s">
        <v>349</v>
      </c>
      <c r="B148" s="184" t="s">
        <v>324</v>
      </c>
      <c r="C148" s="184" t="s">
        <v>350</v>
      </c>
      <c r="D148" s="180"/>
    </row>
    <row r="149" spans="1:9" ht="23.15" customHeight="1" thickBot="1" x14ac:dyDescent="0.25">
      <c r="A149" s="175" t="s">
        <v>351</v>
      </c>
      <c r="B149" s="202" t="s">
        <v>327</v>
      </c>
      <c r="C149" s="202" t="s">
        <v>352</v>
      </c>
      <c r="D149" s="180"/>
    </row>
    <row r="150" spans="1:9" x14ac:dyDescent="0.2">
      <c r="A150" s="418" t="s">
        <v>353</v>
      </c>
      <c r="B150" s="407"/>
      <c r="C150" s="407"/>
      <c r="D150" s="407"/>
      <c r="E150" s="407"/>
      <c r="F150" s="407"/>
      <c r="G150" s="407"/>
      <c r="H150" s="407"/>
      <c r="I150" s="407"/>
    </row>
    <row r="151" spans="1:9" ht="14" x14ac:dyDescent="0.2">
      <c r="A151" s="176"/>
    </row>
    <row r="152" spans="1:9" x14ac:dyDescent="0.2">
      <c r="A152" s="406" t="s">
        <v>354</v>
      </c>
      <c r="B152" s="407"/>
      <c r="C152" s="407"/>
      <c r="D152" s="407"/>
      <c r="E152" s="407"/>
      <c r="F152" s="407"/>
      <c r="G152" s="407"/>
      <c r="H152" s="407"/>
      <c r="I152" s="407"/>
    </row>
    <row r="153" spans="1:9" ht="13.5" thickBot="1" x14ac:dyDescent="0.25">
      <c r="A153" s="415" t="s">
        <v>355</v>
      </c>
      <c r="B153" s="407"/>
      <c r="C153" s="407"/>
      <c r="D153" s="407"/>
      <c r="E153" s="407"/>
      <c r="F153" s="407"/>
      <c r="G153" s="407"/>
      <c r="H153" s="407"/>
      <c r="I153" s="407"/>
    </row>
    <row r="154" spans="1:9" ht="14.5" thickBot="1" x14ac:dyDescent="0.25">
      <c r="A154" s="193" t="s">
        <v>356</v>
      </c>
      <c r="B154" s="194" t="s">
        <v>320</v>
      </c>
      <c r="C154" s="194" t="s">
        <v>357</v>
      </c>
      <c r="D154" s="194" t="s">
        <v>358</v>
      </c>
      <c r="E154" s="195"/>
    </row>
    <row r="155" spans="1:9" ht="23.15" customHeight="1" x14ac:dyDescent="0.2">
      <c r="A155" s="179"/>
      <c r="B155" s="192"/>
      <c r="C155" s="192"/>
      <c r="D155" s="192"/>
      <c r="E155" s="180"/>
    </row>
    <row r="156" spans="1:9" ht="23.15" customHeight="1" thickBot="1" x14ac:dyDescent="0.25">
      <c r="A156" s="175" t="s">
        <v>359</v>
      </c>
      <c r="B156" s="203" t="s">
        <v>360</v>
      </c>
      <c r="C156" s="202" t="s">
        <v>361</v>
      </c>
      <c r="D156" s="202" t="s">
        <v>362</v>
      </c>
      <c r="E156" s="180"/>
    </row>
    <row r="157" spans="1:9" ht="14.5" thickBot="1" x14ac:dyDescent="0.25">
      <c r="A157" s="176"/>
    </row>
    <row r="158" spans="1:9" ht="13.5" thickBot="1" x14ac:dyDescent="0.25">
      <c r="A158" s="193" t="s">
        <v>363</v>
      </c>
      <c r="B158" s="194" t="s">
        <v>364</v>
      </c>
    </row>
    <row r="159" spans="1:9" ht="18.75" customHeight="1" x14ac:dyDescent="0.2">
      <c r="A159" s="178" t="s">
        <v>365</v>
      </c>
      <c r="B159" s="411"/>
    </row>
    <row r="160" spans="1:9" ht="18.75" customHeight="1" x14ac:dyDescent="0.2">
      <c r="A160" s="178" t="s">
        <v>366</v>
      </c>
      <c r="B160" s="412"/>
    </row>
    <row r="161" spans="1:9" ht="18.75" customHeight="1" thickBot="1" x14ac:dyDescent="0.25">
      <c r="A161" s="191"/>
      <c r="B161" s="413"/>
    </row>
    <row r="162" spans="1:9" x14ac:dyDescent="0.2">
      <c r="A162" s="424" t="s">
        <v>367</v>
      </c>
      <c r="B162" s="407"/>
      <c r="C162" s="407"/>
      <c r="D162" s="407"/>
      <c r="E162" s="407"/>
      <c r="F162" s="407"/>
      <c r="G162" s="407"/>
      <c r="H162" s="407"/>
      <c r="I162" s="407"/>
    </row>
    <row r="163" spans="1:9" x14ac:dyDescent="0.2">
      <c r="A163" s="418" t="s">
        <v>368</v>
      </c>
      <c r="B163" s="407"/>
      <c r="C163" s="407"/>
      <c r="D163" s="407"/>
      <c r="E163" s="407"/>
      <c r="F163" s="407"/>
      <c r="G163" s="407"/>
      <c r="H163" s="407"/>
      <c r="I163" s="407"/>
    </row>
    <row r="164" spans="1:9" x14ac:dyDescent="0.2">
      <c r="A164" s="418" t="s">
        <v>369</v>
      </c>
      <c r="B164" s="407"/>
      <c r="C164" s="407"/>
      <c r="D164" s="407"/>
      <c r="E164" s="407"/>
      <c r="F164" s="407"/>
      <c r="G164" s="407"/>
      <c r="H164" s="407"/>
      <c r="I164" s="407"/>
    </row>
    <row r="165" spans="1:9" x14ac:dyDescent="0.2">
      <c r="A165" s="406" t="s">
        <v>370</v>
      </c>
      <c r="B165" s="407"/>
      <c r="C165" s="407"/>
      <c r="D165" s="407"/>
      <c r="E165" s="407"/>
      <c r="F165" s="407"/>
      <c r="G165" s="407"/>
      <c r="H165" s="407"/>
      <c r="I165" s="407"/>
    </row>
    <row r="166" spans="1:9" ht="14" x14ac:dyDescent="0.2">
      <c r="A166" s="204"/>
    </row>
    <row r="167" spans="1:9" ht="13.5" thickBot="1" x14ac:dyDescent="0.25">
      <c r="A167" s="406" t="s">
        <v>371</v>
      </c>
      <c r="B167" s="407"/>
      <c r="C167" s="407"/>
      <c r="D167" s="407"/>
      <c r="E167" s="407"/>
      <c r="F167" s="407"/>
      <c r="G167" s="407"/>
      <c r="H167" s="407"/>
      <c r="I167" s="407"/>
    </row>
    <row r="168" spans="1:9" ht="18.75" customHeight="1" x14ac:dyDescent="0.2">
      <c r="A168" s="411"/>
      <c r="B168" s="414"/>
    </row>
    <row r="169" spans="1:9" ht="18.75" customHeight="1" x14ac:dyDescent="0.2">
      <c r="A169" s="412"/>
      <c r="B169" s="414"/>
    </row>
    <row r="170" spans="1:9" ht="18.75" customHeight="1" x14ac:dyDescent="0.2">
      <c r="A170" s="412"/>
      <c r="B170" s="414"/>
    </row>
    <row r="171" spans="1:9" ht="18.75" customHeight="1" x14ac:dyDescent="0.2">
      <c r="A171" s="412"/>
      <c r="B171" s="414"/>
    </row>
    <row r="172" spans="1:9" ht="18.75" customHeight="1" x14ac:dyDescent="0.2">
      <c r="A172" s="412"/>
      <c r="B172" s="414"/>
    </row>
    <row r="173" spans="1:9" ht="18.75" customHeight="1" x14ac:dyDescent="0.2">
      <c r="A173" s="412"/>
      <c r="B173" s="414"/>
    </row>
    <row r="174" spans="1:9" ht="18.75" customHeight="1" x14ac:dyDescent="0.2">
      <c r="A174" s="412"/>
      <c r="B174" s="414"/>
    </row>
    <row r="175" spans="1:9" ht="18.75" customHeight="1" x14ac:dyDescent="0.2">
      <c r="A175" s="412"/>
      <c r="B175" s="414"/>
    </row>
    <row r="176" spans="1:9" ht="23.15" customHeight="1" thickBot="1" x14ac:dyDescent="0.25">
      <c r="A176" s="413"/>
      <c r="B176" s="180"/>
    </row>
    <row r="177" spans="1:9" x14ac:dyDescent="0.2">
      <c r="A177" s="415" t="s">
        <v>372</v>
      </c>
      <c r="B177" s="407"/>
      <c r="C177" s="407"/>
      <c r="D177" s="407"/>
      <c r="E177" s="407"/>
      <c r="F177" s="407"/>
      <c r="G177" s="407"/>
      <c r="H177" s="407"/>
      <c r="I177" s="407"/>
    </row>
    <row r="178" spans="1:9" ht="14" x14ac:dyDescent="0.2">
      <c r="A178" s="176"/>
    </row>
    <row r="179" spans="1:9" x14ac:dyDescent="0.2">
      <c r="A179" s="406" t="s">
        <v>373</v>
      </c>
      <c r="B179" s="407"/>
      <c r="C179" s="407"/>
      <c r="D179" s="407"/>
      <c r="E179" s="407"/>
      <c r="F179" s="407"/>
      <c r="G179" s="407"/>
      <c r="H179" s="407"/>
      <c r="I179" s="407"/>
    </row>
    <row r="180" spans="1:9" x14ac:dyDescent="0.2">
      <c r="A180" s="406" t="s">
        <v>374</v>
      </c>
      <c r="B180" s="407"/>
      <c r="C180" s="407"/>
      <c r="D180" s="407"/>
      <c r="E180" s="407"/>
      <c r="F180" s="407"/>
      <c r="G180" s="407"/>
      <c r="H180" s="407"/>
      <c r="I180" s="407"/>
    </row>
    <row r="181" spans="1:9" ht="13.5" thickBot="1" x14ac:dyDescent="0.25">
      <c r="A181" s="415" t="s">
        <v>375</v>
      </c>
      <c r="B181" s="407"/>
      <c r="C181" s="407"/>
      <c r="D181" s="407"/>
      <c r="E181" s="407"/>
      <c r="F181" s="407"/>
      <c r="G181" s="407"/>
      <c r="H181" s="407"/>
      <c r="I181" s="407"/>
    </row>
    <row r="182" spans="1:9" ht="14.5" thickBot="1" x14ac:dyDescent="0.25">
      <c r="A182" s="193" t="s">
        <v>303</v>
      </c>
      <c r="B182" s="194" t="s">
        <v>304</v>
      </c>
      <c r="C182" s="194" t="s">
        <v>305</v>
      </c>
      <c r="D182" s="194" t="s">
        <v>306</v>
      </c>
      <c r="E182" s="194" t="s">
        <v>307</v>
      </c>
      <c r="F182" s="194" t="s">
        <v>218</v>
      </c>
      <c r="G182" s="195"/>
    </row>
    <row r="183" spans="1:9" ht="18.75" customHeight="1" x14ac:dyDescent="0.2">
      <c r="A183" s="411"/>
      <c r="B183" s="192"/>
      <c r="C183" s="411"/>
      <c r="D183" s="411"/>
      <c r="E183" s="411"/>
      <c r="F183" s="411"/>
      <c r="G183" s="414"/>
    </row>
    <row r="184" spans="1:9" ht="18.75" customHeight="1" x14ac:dyDescent="0.2">
      <c r="A184" s="412"/>
      <c r="B184" s="192"/>
      <c r="C184" s="412"/>
      <c r="D184" s="412"/>
      <c r="E184" s="412"/>
      <c r="F184" s="412"/>
      <c r="G184" s="414"/>
    </row>
    <row r="185" spans="1:9" ht="18.75" customHeight="1" x14ac:dyDescent="0.2">
      <c r="A185" s="412"/>
      <c r="B185" s="184" t="s">
        <v>376</v>
      </c>
      <c r="C185" s="412"/>
      <c r="D185" s="412"/>
      <c r="E185" s="412"/>
      <c r="F185" s="412"/>
      <c r="G185" s="414"/>
    </row>
    <row r="186" spans="1:9" ht="18.75" customHeight="1" x14ac:dyDescent="0.2">
      <c r="A186" s="412"/>
      <c r="B186" s="192"/>
      <c r="C186" s="412"/>
      <c r="D186" s="412"/>
      <c r="E186" s="412"/>
      <c r="F186" s="412"/>
      <c r="G186" s="414"/>
    </row>
    <row r="187" spans="1:9" ht="18.75" customHeight="1" x14ac:dyDescent="0.2">
      <c r="A187" s="412"/>
      <c r="B187" s="192"/>
      <c r="C187" s="412"/>
      <c r="D187" s="412"/>
      <c r="E187" s="412"/>
      <c r="F187" s="412"/>
      <c r="G187" s="414"/>
    </row>
    <row r="188" spans="1:9" ht="18.75" customHeight="1" x14ac:dyDescent="0.2">
      <c r="A188" s="412"/>
      <c r="B188" s="192"/>
      <c r="C188" s="412"/>
      <c r="D188" s="412"/>
      <c r="E188" s="412"/>
      <c r="F188" s="412"/>
      <c r="G188" s="414"/>
    </row>
    <row r="189" spans="1:9" ht="18.75" customHeight="1" x14ac:dyDescent="0.2">
      <c r="A189" s="412"/>
      <c r="B189" s="192"/>
      <c r="C189" s="412"/>
      <c r="D189" s="412"/>
      <c r="E189" s="412"/>
      <c r="F189" s="412"/>
      <c r="G189" s="414"/>
    </row>
    <row r="190" spans="1:9" ht="18.75" customHeight="1" x14ac:dyDescent="0.2">
      <c r="A190" s="412"/>
      <c r="B190" s="192"/>
      <c r="C190" s="412"/>
      <c r="D190" s="412"/>
      <c r="E190" s="412"/>
      <c r="F190" s="412"/>
      <c r="G190" s="414"/>
    </row>
    <row r="191" spans="1:9" ht="23.15" customHeight="1" thickBot="1" x14ac:dyDescent="0.25">
      <c r="A191" s="413"/>
      <c r="B191" s="187"/>
      <c r="C191" s="413"/>
      <c r="D191" s="413"/>
      <c r="E191" s="413"/>
      <c r="F191" s="413"/>
      <c r="G191" s="180"/>
    </row>
    <row r="192" spans="1:9" ht="14" x14ac:dyDescent="0.2">
      <c r="A192" s="176"/>
    </row>
    <row r="193" spans="1:9" ht="13.5" thickBot="1" x14ac:dyDescent="0.25">
      <c r="A193" s="406" t="s">
        <v>377</v>
      </c>
      <c r="B193" s="407"/>
      <c r="C193" s="407"/>
      <c r="D193" s="407"/>
      <c r="E193" s="407"/>
      <c r="F193" s="407"/>
      <c r="G193" s="407"/>
      <c r="H193" s="407"/>
      <c r="I193" s="407"/>
    </row>
    <row r="194" spans="1:9" ht="14.5" thickBot="1" x14ac:dyDescent="0.25">
      <c r="A194" s="193" t="s">
        <v>378</v>
      </c>
      <c r="B194" s="194" t="s">
        <v>379</v>
      </c>
      <c r="C194" s="194" t="s">
        <v>380</v>
      </c>
      <c r="D194" s="195"/>
    </row>
    <row r="195" spans="1:9" ht="18.75" customHeight="1" x14ac:dyDescent="0.2">
      <c r="A195" s="411"/>
      <c r="B195" s="411"/>
      <c r="C195" s="411"/>
      <c r="D195" s="414"/>
    </row>
    <row r="196" spans="1:9" ht="18.75" customHeight="1" x14ac:dyDescent="0.2">
      <c r="A196" s="412"/>
      <c r="B196" s="412"/>
      <c r="C196" s="412"/>
      <c r="D196" s="414"/>
    </row>
    <row r="197" spans="1:9" ht="18.75" customHeight="1" x14ac:dyDescent="0.2">
      <c r="A197" s="412"/>
      <c r="B197" s="412"/>
      <c r="C197" s="412"/>
      <c r="D197" s="414"/>
    </row>
    <row r="198" spans="1:9" ht="18.75" customHeight="1" x14ac:dyDescent="0.2">
      <c r="A198" s="412"/>
      <c r="B198" s="412"/>
      <c r="C198" s="412"/>
      <c r="D198" s="414"/>
    </row>
    <row r="199" spans="1:9" ht="18.75" customHeight="1" x14ac:dyDescent="0.2">
      <c r="A199" s="412"/>
      <c r="B199" s="412"/>
      <c r="C199" s="412"/>
      <c r="D199" s="414"/>
    </row>
    <row r="200" spans="1:9" ht="18.75" customHeight="1" x14ac:dyDescent="0.2">
      <c r="A200" s="412"/>
      <c r="B200" s="412"/>
      <c r="C200" s="412"/>
      <c r="D200" s="414"/>
    </row>
    <row r="201" spans="1:9" ht="18.75" customHeight="1" x14ac:dyDescent="0.2">
      <c r="A201" s="412"/>
      <c r="B201" s="412"/>
      <c r="C201" s="412"/>
      <c r="D201" s="414"/>
    </row>
    <row r="202" spans="1:9" ht="18.75" customHeight="1" thickBot="1" x14ac:dyDescent="0.25">
      <c r="A202" s="412"/>
      <c r="B202" s="423"/>
      <c r="C202" s="423"/>
      <c r="D202" s="414"/>
    </row>
    <row r="203" spans="1:9" ht="13.5" thickBot="1" x14ac:dyDescent="0.25">
      <c r="A203" s="423"/>
    </row>
    <row r="204" spans="1:9" ht="14" x14ac:dyDescent="0.2">
      <c r="A204" s="176"/>
    </row>
    <row r="205" spans="1:9" ht="14" x14ac:dyDescent="0.2">
      <c r="A205" s="176"/>
    </row>
    <row r="206" spans="1:9" ht="13.5" thickBot="1" x14ac:dyDescent="0.25">
      <c r="A206" s="406" t="s">
        <v>381</v>
      </c>
      <c r="B206" s="407"/>
      <c r="C206" s="407"/>
      <c r="D206" s="407"/>
      <c r="E206" s="407"/>
      <c r="F206" s="407"/>
      <c r="G206" s="407"/>
      <c r="H206" s="407"/>
      <c r="I206" s="407"/>
    </row>
    <row r="207" spans="1:9" ht="14.5" thickBot="1" x14ac:dyDescent="0.25">
      <c r="A207" s="193" t="s">
        <v>382</v>
      </c>
      <c r="B207" s="194" t="s">
        <v>379</v>
      </c>
      <c r="C207" s="194" t="s">
        <v>383</v>
      </c>
      <c r="D207" s="195"/>
    </row>
    <row r="208" spans="1:9" ht="18.75" customHeight="1" x14ac:dyDescent="0.2">
      <c r="A208" s="411"/>
      <c r="B208" s="411"/>
      <c r="C208" s="411"/>
      <c r="D208" s="414"/>
    </row>
    <row r="209" spans="1:9" ht="18.75" customHeight="1" x14ac:dyDescent="0.2">
      <c r="A209" s="412"/>
      <c r="B209" s="412"/>
      <c r="C209" s="412"/>
      <c r="D209" s="414"/>
    </row>
    <row r="210" spans="1:9" ht="18.75" customHeight="1" x14ac:dyDescent="0.2">
      <c r="A210" s="412"/>
      <c r="B210" s="412"/>
      <c r="C210" s="412"/>
      <c r="D210" s="414"/>
    </row>
    <row r="211" spans="1:9" ht="18.75" customHeight="1" x14ac:dyDescent="0.2">
      <c r="A211" s="412"/>
      <c r="B211" s="412"/>
      <c r="C211" s="412"/>
      <c r="D211" s="414"/>
    </row>
    <row r="212" spans="1:9" ht="18.75" customHeight="1" x14ac:dyDescent="0.2">
      <c r="A212" s="412"/>
      <c r="B212" s="412"/>
      <c r="C212" s="412"/>
      <c r="D212" s="414"/>
    </row>
    <row r="213" spans="1:9" ht="18.75" customHeight="1" x14ac:dyDescent="0.2">
      <c r="A213" s="412"/>
      <c r="B213" s="412"/>
      <c r="C213" s="412"/>
      <c r="D213" s="414"/>
    </row>
    <row r="214" spans="1:9" ht="18.75" customHeight="1" x14ac:dyDescent="0.2">
      <c r="A214" s="412"/>
      <c r="B214" s="412"/>
      <c r="C214" s="412"/>
      <c r="D214" s="414"/>
    </row>
    <row r="215" spans="1:9" ht="18.75" customHeight="1" x14ac:dyDescent="0.2">
      <c r="A215" s="412"/>
      <c r="B215" s="412"/>
      <c r="C215" s="412"/>
      <c r="D215" s="414"/>
    </row>
    <row r="216" spans="1:9" ht="18.75" customHeight="1" x14ac:dyDescent="0.2">
      <c r="A216" s="412"/>
      <c r="B216" s="412"/>
      <c r="C216" s="412"/>
      <c r="D216" s="414"/>
    </row>
    <row r="217" spans="1:9" ht="18.75" customHeight="1" x14ac:dyDescent="0.2">
      <c r="A217" s="412"/>
      <c r="B217" s="412"/>
      <c r="C217" s="412"/>
      <c r="D217" s="414"/>
    </row>
    <row r="218" spans="1:9" ht="23.15" customHeight="1" thickBot="1" x14ac:dyDescent="0.25">
      <c r="A218" s="413"/>
      <c r="B218" s="413"/>
      <c r="C218" s="413"/>
      <c r="D218" s="180"/>
    </row>
    <row r="219" spans="1:9" ht="14" x14ac:dyDescent="0.2">
      <c r="A219" s="176"/>
    </row>
    <row r="220" spans="1:9" ht="13.5" thickBot="1" x14ac:dyDescent="0.25">
      <c r="A220" s="406" t="s">
        <v>384</v>
      </c>
      <c r="B220" s="407"/>
      <c r="C220" s="407"/>
      <c r="D220" s="407"/>
      <c r="E220" s="407"/>
      <c r="F220" s="407"/>
      <c r="G220" s="407"/>
      <c r="H220" s="407"/>
      <c r="I220" s="407"/>
    </row>
    <row r="221" spans="1:9" ht="18.75" customHeight="1" x14ac:dyDescent="0.2">
      <c r="A221" s="411"/>
      <c r="B221" s="414"/>
    </row>
    <row r="222" spans="1:9" ht="18.75" customHeight="1" x14ac:dyDescent="0.2">
      <c r="A222" s="412"/>
      <c r="B222" s="414"/>
    </row>
    <row r="223" spans="1:9" ht="18.75" customHeight="1" x14ac:dyDescent="0.2">
      <c r="A223" s="412"/>
      <c r="B223" s="414"/>
    </row>
    <row r="224" spans="1:9" ht="18.75" customHeight="1" x14ac:dyDescent="0.2">
      <c r="A224" s="412"/>
      <c r="B224" s="414"/>
    </row>
    <row r="225" spans="1:9" ht="18.75" customHeight="1" x14ac:dyDescent="0.2">
      <c r="A225" s="412"/>
      <c r="B225" s="414"/>
    </row>
    <row r="226" spans="1:9" ht="18.75" customHeight="1" x14ac:dyDescent="0.2">
      <c r="A226" s="412"/>
      <c r="B226" s="414"/>
    </row>
    <row r="227" spans="1:9" ht="18.75" customHeight="1" x14ac:dyDescent="0.2">
      <c r="A227" s="412"/>
      <c r="B227" s="414"/>
    </row>
    <row r="228" spans="1:9" ht="18.75" customHeight="1" x14ac:dyDescent="0.2">
      <c r="A228" s="412"/>
      <c r="B228" s="414"/>
    </row>
    <row r="229" spans="1:9" ht="18.75" customHeight="1" x14ac:dyDescent="0.2">
      <c r="A229" s="412"/>
      <c r="B229" s="414"/>
    </row>
    <row r="230" spans="1:9" ht="23.15" customHeight="1" thickBot="1" x14ac:dyDescent="0.25">
      <c r="A230" s="413"/>
      <c r="B230" s="180"/>
    </row>
    <row r="231" spans="1:9" x14ac:dyDescent="0.2">
      <c r="A231" s="406" t="s">
        <v>385</v>
      </c>
      <c r="B231" s="407"/>
      <c r="C231" s="407"/>
      <c r="D231" s="407"/>
      <c r="E231" s="407"/>
      <c r="F231" s="407"/>
      <c r="G231" s="407"/>
      <c r="H231" s="407"/>
      <c r="I231" s="407"/>
    </row>
    <row r="233" spans="1:9" ht="13.5" thickBot="1" x14ac:dyDescent="0.25">
      <c r="A233" s="415" t="s">
        <v>386</v>
      </c>
      <c r="B233" s="407"/>
      <c r="C233" s="407"/>
      <c r="D233" s="407"/>
      <c r="E233" s="407"/>
      <c r="F233" s="407"/>
      <c r="G233" s="407"/>
      <c r="H233" s="407"/>
      <c r="I233" s="407"/>
    </row>
    <row r="234" spans="1:9" ht="18.75" customHeight="1" x14ac:dyDescent="0.2">
      <c r="A234" s="411"/>
      <c r="B234" s="414"/>
    </row>
    <row r="235" spans="1:9" ht="18.75" customHeight="1" x14ac:dyDescent="0.2">
      <c r="A235" s="412"/>
      <c r="B235" s="414"/>
    </row>
    <row r="236" spans="1:9" ht="18.75" customHeight="1" x14ac:dyDescent="0.2">
      <c r="A236" s="412"/>
      <c r="B236" s="414"/>
    </row>
    <row r="237" spans="1:9" ht="18.75" customHeight="1" x14ac:dyDescent="0.2">
      <c r="A237" s="412"/>
      <c r="B237" s="414"/>
    </row>
    <row r="238" spans="1:9" ht="18.75" customHeight="1" x14ac:dyDescent="0.2">
      <c r="A238" s="412"/>
      <c r="B238" s="414"/>
    </row>
    <row r="239" spans="1:9" ht="18.75" customHeight="1" x14ac:dyDescent="0.2">
      <c r="A239" s="412"/>
      <c r="B239" s="414"/>
    </row>
    <row r="240" spans="1:9" ht="23.15" customHeight="1" thickBot="1" x14ac:dyDescent="0.25">
      <c r="A240" s="413"/>
      <c r="B240" s="180"/>
    </row>
    <row r="242" spans="1:9" x14ac:dyDescent="0.2">
      <c r="A242" s="418" t="s">
        <v>387</v>
      </c>
      <c r="B242" s="407"/>
      <c r="C242" s="407"/>
      <c r="D242" s="407"/>
      <c r="E242" s="407"/>
      <c r="F242" s="407"/>
      <c r="G242" s="407"/>
      <c r="H242" s="407"/>
      <c r="I242" s="407"/>
    </row>
    <row r="243" spans="1:9" ht="14" x14ac:dyDescent="0.2">
      <c r="A243" s="176"/>
    </row>
    <row r="244" spans="1:9" x14ac:dyDescent="0.2">
      <c r="A244" s="406" t="s">
        <v>388</v>
      </c>
      <c r="B244" s="407"/>
      <c r="C244" s="407"/>
      <c r="D244" s="407"/>
      <c r="E244" s="407"/>
      <c r="F244" s="407"/>
      <c r="G244" s="407"/>
      <c r="H244" s="407"/>
      <c r="I244" s="407"/>
    </row>
    <row r="245" spans="1:9" ht="13.5" thickBot="1" x14ac:dyDescent="0.25">
      <c r="A245" s="415" t="s">
        <v>375</v>
      </c>
      <c r="B245" s="407"/>
      <c r="C245" s="407"/>
      <c r="D245" s="407"/>
      <c r="E245" s="407"/>
      <c r="F245" s="407"/>
      <c r="G245" s="407"/>
      <c r="H245" s="407"/>
      <c r="I245" s="407"/>
    </row>
    <row r="246" spans="1:9" ht="14.5" thickBot="1" x14ac:dyDescent="0.25">
      <c r="A246" s="193" t="s">
        <v>303</v>
      </c>
      <c r="B246" s="194" t="s">
        <v>304</v>
      </c>
      <c r="C246" s="194" t="s">
        <v>305</v>
      </c>
      <c r="D246" s="194" t="s">
        <v>306</v>
      </c>
      <c r="E246" s="194" t="s">
        <v>307</v>
      </c>
      <c r="F246" s="194" t="s">
        <v>218</v>
      </c>
      <c r="G246" s="195"/>
    </row>
    <row r="247" spans="1:9" ht="18.75" customHeight="1" x14ac:dyDescent="0.2">
      <c r="A247" s="179"/>
      <c r="B247" s="192"/>
      <c r="C247" s="192"/>
      <c r="D247" s="192"/>
      <c r="E247" s="192"/>
      <c r="F247" s="411"/>
      <c r="G247" s="414"/>
    </row>
    <row r="248" spans="1:9" ht="18.75" customHeight="1" x14ac:dyDescent="0.2">
      <c r="A248" s="178" t="s">
        <v>196</v>
      </c>
      <c r="B248" s="184" t="s">
        <v>309</v>
      </c>
      <c r="C248" s="184" t="s">
        <v>389</v>
      </c>
      <c r="D248" s="184" t="s">
        <v>390</v>
      </c>
      <c r="E248" s="184" t="s">
        <v>391</v>
      </c>
      <c r="F248" s="412"/>
      <c r="G248" s="414"/>
    </row>
    <row r="249" spans="1:9" ht="18.75" customHeight="1" x14ac:dyDescent="0.2">
      <c r="A249" s="179"/>
      <c r="B249" s="184" t="s">
        <v>313</v>
      </c>
      <c r="C249" s="184" t="s">
        <v>392</v>
      </c>
      <c r="D249" s="192"/>
      <c r="E249" s="192"/>
      <c r="F249" s="412"/>
      <c r="G249" s="414"/>
    </row>
    <row r="250" spans="1:9" ht="18.75" customHeight="1" x14ac:dyDescent="0.2">
      <c r="A250" s="205"/>
      <c r="B250" s="192"/>
      <c r="C250" s="192"/>
      <c r="D250" s="192"/>
      <c r="E250" s="192"/>
      <c r="F250" s="412"/>
      <c r="G250" s="414"/>
    </row>
    <row r="251" spans="1:9" ht="23.15" customHeight="1" thickBot="1" x14ac:dyDescent="0.25">
      <c r="A251" s="186"/>
      <c r="B251" s="201"/>
      <c r="C251" s="201"/>
      <c r="D251" s="187"/>
      <c r="E251" s="187"/>
      <c r="F251" s="413"/>
      <c r="G251" s="180"/>
    </row>
    <row r="252" spans="1:9" ht="14" x14ac:dyDescent="0.2">
      <c r="A252" s="176"/>
    </row>
    <row r="253" spans="1:9" ht="13.5" thickBot="1" x14ac:dyDescent="0.25">
      <c r="A253" s="406" t="s">
        <v>393</v>
      </c>
      <c r="B253" s="407"/>
      <c r="C253" s="407"/>
      <c r="D253" s="407"/>
      <c r="E253" s="407"/>
      <c r="F253" s="407"/>
      <c r="G253" s="407"/>
      <c r="H253" s="407"/>
      <c r="I253" s="407"/>
    </row>
    <row r="254" spans="1:9" ht="18.75" customHeight="1" x14ac:dyDescent="0.2">
      <c r="A254" s="420" t="s">
        <v>394</v>
      </c>
      <c r="B254" s="414"/>
    </row>
    <row r="255" spans="1:9" ht="18.75" customHeight="1" x14ac:dyDescent="0.2">
      <c r="A255" s="421"/>
      <c r="B255" s="414"/>
    </row>
    <row r="256" spans="1:9" ht="18.75" customHeight="1" x14ac:dyDescent="0.2">
      <c r="A256" s="421"/>
      <c r="B256" s="414"/>
    </row>
    <row r="257" spans="1:9" ht="18.75" customHeight="1" x14ac:dyDescent="0.2">
      <c r="A257" s="421"/>
      <c r="B257" s="414"/>
    </row>
    <row r="258" spans="1:9" ht="18.75" customHeight="1" x14ac:dyDescent="0.2">
      <c r="A258" s="421"/>
      <c r="B258" s="414"/>
    </row>
    <row r="259" spans="1:9" ht="23.15" customHeight="1" thickBot="1" x14ac:dyDescent="0.25">
      <c r="A259" s="422"/>
      <c r="B259" s="180"/>
    </row>
    <row r="260" spans="1:9" x14ac:dyDescent="0.2">
      <c r="A260" s="406" t="s">
        <v>395</v>
      </c>
      <c r="B260" s="407"/>
      <c r="C260" s="407"/>
      <c r="D260" s="407"/>
      <c r="E260" s="407"/>
      <c r="F260" s="407"/>
      <c r="G260" s="407"/>
      <c r="H260" s="407"/>
      <c r="I260" s="407"/>
    </row>
    <row r="261" spans="1:9" ht="14" x14ac:dyDescent="0.2">
      <c r="A261" s="176"/>
    </row>
    <row r="262" spans="1:9" ht="13.5" thickBot="1" x14ac:dyDescent="0.25">
      <c r="A262" s="406" t="s">
        <v>396</v>
      </c>
      <c r="B262" s="407"/>
      <c r="C262" s="407"/>
      <c r="D262" s="407"/>
      <c r="E262" s="407"/>
      <c r="F262" s="407"/>
      <c r="G262" s="407"/>
      <c r="H262" s="407"/>
      <c r="I262" s="407"/>
    </row>
    <row r="263" spans="1:9" ht="18.75" customHeight="1" x14ac:dyDescent="0.2">
      <c r="A263" s="174"/>
      <c r="B263" s="414"/>
    </row>
    <row r="264" spans="1:9" ht="18.75" customHeight="1" x14ac:dyDescent="0.2">
      <c r="A264" s="178" t="s">
        <v>397</v>
      </c>
      <c r="B264" s="414"/>
    </row>
    <row r="265" spans="1:9" ht="18.75" customHeight="1" x14ac:dyDescent="0.2">
      <c r="A265" s="179"/>
      <c r="B265" s="414"/>
    </row>
    <row r="266" spans="1:9" ht="18.75" customHeight="1" x14ac:dyDescent="0.2">
      <c r="A266" s="179"/>
      <c r="B266" s="414"/>
    </row>
    <row r="267" spans="1:9" ht="18.75" customHeight="1" x14ac:dyDescent="0.2">
      <c r="A267" s="179"/>
      <c r="B267" s="414"/>
    </row>
    <row r="268" spans="1:9" ht="18.75" customHeight="1" x14ac:dyDescent="0.2">
      <c r="A268" s="179"/>
      <c r="B268" s="414"/>
    </row>
    <row r="269" spans="1:9" ht="23.15" customHeight="1" x14ac:dyDescent="0.2">
      <c r="A269" s="179"/>
      <c r="B269" s="180"/>
    </row>
    <row r="270" spans="1:9" ht="23.15" customHeight="1" thickBot="1" x14ac:dyDescent="0.25">
      <c r="A270" s="191"/>
      <c r="B270" s="180"/>
    </row>
    <row r="271" spans="1:9" x14ac:dyDescent="0.2">
      <c r="A271" s="406" t="s">
        <v>398</v>
      </c>
      <c r="B271" s="407"/>
      <c r="C271" s="407"/>
      <c r="D271" s="407"/>
      <c r="E271" s="407"/>
      <c r="F271" s="407"/>
      <c r="G271" s="407"/>
      <c r="H271" s="407"/>
      <c r="I271" s="407"/>
    </row>
    <row r="272" spans="1:9" ht="13.5" thickBot="1" x14ac:dyDescent="0.25">
      <c r="A272" s="415" t="s">
        <v>399</v>
      </c>
      <c r="B272" s="407"/>
      <c r="C272" s="407"/>
      <c r="D272" s="407"/>
      <c r="E272" s="407"/>
      <c r="F272" s="407"/>
      <c r="G272" s="407"/>
      <c r="H272" s="407"/>
      <c r="I272" s="407"/>
    </row>
    <row r="273" spans="1:9" ht="14.25" customHeight="1" thickBot="1" x14ac:dyDescent="0.25">
      <c r="A273" s="193" t="s">
        <v>356</v>
      </c>
      <c r="B273" s="194" t="s">
        <v>320</v>
      </c>
      <c r="C273" s="194" t="s">
        <v>357</v>
      </c>
      <c r="D273" s="194" t="s">
        <v>358</v>
      </c>
      <c r="E273" s="180"/>
    </row>
    <row r="274" spans="1:9" ht="59.25" customHeight="1" thickBot="1" x14ac:dyDescent="0.25">
      <c r="A274" s="206"/>
      <c r="B274" s="203" t="s">
        <v>400</v>
      </c>
      <c r="C274" s="207"/>
      <c r="D274" s="207"/>
      <c r="E274" s="180"/>
    </row>
    <row r="275" spans="1:9" ht="14.65" customHeight="1" x14ac:dyDescent="0.2">
      <c r="A275" s="416"/>
      <c r="B275" s="416"/>
      <c r="C275" s="416"/>
      <c r="D275" s="416"/>
      <c r="E275" s="180"/>
    </row>
    <row r="276" spans="1:9" ht="14.65" customHeight="1" x14ac:dyDescent="0.2">
      <c r="A276" s="419"/>
      <c r="B276" s="419"/>
      <c r="C276" s="419"/>
      <c r="D276" s="419"/>
      <c r="E276" s="180"/>
    </row>
    <row r="277" spans="1:9" ht="14.65" customHeight="1" x14ac:dyDescent="0.2">
      <c r="A277" s="419"/>
      <c r="B277" s="419"/>
      <c r="C277" s="419"/>
      <c r="D277" s="419"/>
      <c r="E277" s="180"/>
    </row>
    <row r="278" spans="1:9" ht="14.65" customHeight="1" x14ac:dyDescent="0.2">
      <c r="A278" s="419"/>
      <c r="B278" s="419"/>
      <c r="C278" s="419"/>
      <c r="D278" s="419"/>
      <c r="E278" s="180"/>
    </row>
    <row r="279" spans="1:9" ht="24.25" customHeight="1" thickBot="1" x14ac:dyDescent="0.25">
      <c r="A279" s="417"/>
      <c r="B279" s="417"/>
      <c r="C279" s="417"/>
      <c r="D279" s="417"/>
      <c r="E279" s="180"/>
    </row>
    <row r="280" spans="1:9" ht="14.5" thickBot="1" x14ac:dyDescent="0.25">
      <c r="A280" s="176"/>
    </row>
    <row r="281" spans="1:9" ht="14.5" thickBot="1" x14ac:dyDescent="0.25">
      <c r="A281" s="193" t="s">
        <v>363</v>
      </c>
      <c r="B281" s="194" t="s">
        <v>364</v>
      </c>
      <c r="C281" s="195"/>
    </row>
    <row r="282" spans="1:9" ht="51.25" customHeight="1" thickBot="1" x14ac:dyDescent="0.25">
      <c r="A282" s="208"/>
      <c r="B282" s="207"/>
      <c r="C282" s="180"/>
    </row>
    <row r="283" spans="1:9" ht="23.15" customHeight="1" x14ac:dyDescent="0.2">
      <c r="A283" s="416"/>
      <c r="B283" s="416"/>
      <c r="C283" s="180"/>
    </row>
    <row r="284" spans="1:9" ht="23.15" customHeight="1" thickBot="1" x14ac:dyDescent="0.25">
      <c r="A284" s="417"/>
      <c r="B284" s="417"/>
      <c r="C284" s="180"/>
    </row>
    <row r="285" spans="1:9" x14ac:dyDescent="0.2">
      <c r="A285" s="209"/>
    </row>
    <row r="286" spans="1:9" x14ac:dyDescent="0.2">
      <c r="A286" s="418" t="s">
        <v>401</v>
      </c>
      <c r="B286" s="407"/>
      <c r="C286" s="407"/>
      <c r="D286" s="407"/>
      <c r="E286" s="407"/>
      <c r="F286" s="407"/>
      <c r="G286" s="407"/>
      <c r="H286" s="407"/>
      <c r="I286" s="407"/>
    </row>
    <row r="287" spans="1:9" x14ac:dyDescent="0.2">
      <c r="A287" s="418" t="s">
        <v>402</v>
      </c>
      <c r="B287" s="407"/>
      <c r="C287" s="407"/>
      <c r="D287" s="407"/>
      <c r="E287" s="407"/>
      <c r="F287" s="407"/>
      <c r="G287" s="407"/>
      <c r="H287" s="407"/>
      <c r="I287" s="407"/>
    </row>
    <row r="288" spans="1:9" x14ac:dyDescent="0.2">
      <c r="A288" s="418" t="s">
        <v>403</v>
      </c>
      <c r="B288" s="407"/>
      <c r="C288" s="407"/>
      <c r="D288" s="407"/>
      <c r="E288" s="407"/>
      <c r="F288" s="407"/>
      <c r="G288" s="407"/>
      <c r="H288" s="407"/>
      <c r="I288" s="407"/>
    </row>
    <row r="289" spans="1:9" ht="14" x14ac:dyDescent="0.2">
      <c r="A289" s="176"/>
    </row>
    <row r="290" spans="1:9" ht="14" x14ac:dyDescent="0.2">
      <c r="A290" s="176"/>
    </row>
    <row r="291" spans="1:9" ht="14" x14ac:dyDescent="0.2">
      <c r="A291" s="176"/>
    </row>
    <row r="292" spans="1:9" ht="14" x14ac:dyDescent="0.2">
      <c r="A292" s="176"/>
    </row>
    <row r="293" spans="1:9" ht="14" x14ac:dyDescent="0.2">
      <c r="A293" s="176"/>
    </row>
    <row r="294" spans="1:9" ht="14" x14ac:dyDescent="0.2">
      <c r="A294" s="176"/>
    </row>
    <row r="295" spans="1:9" ht="14" x14ac:dyDescent="0.2">
      <c r="A295" s="176"/>
    </row>
    <row r="296" spans="1:9" ht="14" x14ac:dyDescent="0.2">
      <c r="A296" s="176"/>
    </row>
    <row r="297" spans="1:9" ht="14" x14ac:dyDescent="0.2">
      <c r="A297" s="176"/>
    </row>
    <row r="298" spans="1:9" ht="13.5" thickBot="1" x14ac:dyDescent="0.25">
      <c r="A298" s="406" t="s">
        <v>404</v>
      </c>
      <c r="B298" s="407"/>
      <c r="C298" s="407"/>
      <c r="D298" s="407"/>
      <c r="E298" s="407"/>
      <c r="F298" s="407"/>
      <c r="G298" s="407"/>
      <c r="H298" s="407"/>
      <c r="I298" s="407"/>
    </row>
    <row r="299" spans="1:9" ht="14.5" thickBot="1" x14ac:dyDescent="0.25">
      <c r="A299" s="193" t="s">
        <v>320</v>
      </c>
      <c r="B299" s="194" t="s">
        <v>405</v>
      </c>
      <c r="C299" s="195"/>
    </row>
    <row r="300" spans="1:9" ht="18.75" customHeight="1" x14ac:dyDescent="0.2">
      <c r="A300" s="411"/>
      <c r="B300" s="411"/>
      <c r="C300" s="414"/>
    </row>
    <row r="301" spans="1:9" ht="18.75" customHeight="1" x14ac:dyDescent="0.2">
      <c r="A301" s="412"/>
      <c r="B301" s="412"/>
      <c r="C301" s="414"/>
    </row>
    <row r="302" spans="1:9" ht="18.75" customHeight="1" x14ac:dyDescent="0.2">
      <c r="A302" s="412"/>
      <c r="B302" s="412"/>
      <c r="C302" s="414"/>
    </row>
    <row r="303" spans="1:9" ht="18.75" customHeight="1" x14ac:dyDescent="0.2">
      <c r="A303" s="412"/>
      <c r="B303" s="412"/>
      <c r="C303" s="414"/>
    </row>
    <row r="304" spans="1:9" ht="23.15" customHeight="1" thickBot="1" x14ac:dyDescent="0.25">
      <c r="A304" s="413"/>
      <c r="B304" s="413"/>
      <c r="C304" s="180"/>
    </row>
    <row r="305" spans="1:9" ht="14" x14ac:dyDescent="0.2">
      <c r="A305" s="176"/>
    </row>
    <row r="306" spans="1:9" ht="14" x14ac:dyDescent="0.2">
      <c r="A306" s="176"/>
    </row>
    <row r="307" spans="1:9" ht="13.5" thickBot="1" x14ac:dyDescent="0.25">
      <c r="A307" s="406" t="s">
        <v>406</v>
      </c>
      <c r="B307" s="407"/>
      <c r="C307" s="407"/>
      <c r="D307" s="407"/>
      <c r="E307" s="407"/>
      <c r="F307" s="407"/>
      <c r="G307" s="407"/>
      <c r="H307" s="407"/>
      <c r="I307" s="407"/>
    </row>
    <row r="308" spans="1:9" ht="14.5" thickBot="1" x14ac:dyDescent="0.25">
      <c r="A308" s="193" t="s">
        <v>320</v>
      </c>
      <c r="B308" s="194" t="s">
        <v>405</v>
      </c>
      <c r="C308" s="195"/>
    </row>
    <row r="309" spans="1:9" ht="18.75" customHeight="1" x14ac:dyDescent="0.2">
      <c r="A309" s="411"/>
      <c r="B309" s="411"/>
      <c r="C309" s="414"/>
    </row>
    <row r="310" spans="1:9" ht="18.75" customHeight="1" x14ac:dyDescent="0.2">
      <c r="A310" s="412"/>
      <c r="B310" s="412"/>
      <c r="C310" s="414"/>
    </row>
    <row r="311" spans="1:9" ht="18.75" customHeight="1" x14ac:dyDescent="0.2">
      <c r="A311" s="412"/>
      <c r="B311" s="412"/>
      <c r="C311" s="414"/>
    </row>
    <row r="312" spans="1:9" ht="18.75" customHeight="1" x14ac:dyDescent="0.2">
      <c r="A312" s="412"/>
      <c r="B312" s="412"/>
      <c r="C312" s="414"/>
    </row>
    <row r="313" spans="1:9" ht="23.15" customHeight="1" thickBot="1" x14ac:dyDescent="0.25">
      <c r="A313" s="413"/>
      <c r="B313" s="413"/>
      <c r="C313" s="180"/>
    </row>
    <row r="314" spans="1:9" x14ac:dyDescent="0.2">
      <c r="A314" s="415" t="s">
        <v>407</v>
      </c>
      <c r="B314" s="407"/>
      <c r="C314" s="407"/>
      <c r="D314" s="407"/>
      <c r="E314" s="407"/>
      <c r="F314" s="407"/>
      <c r="G314" s="407"/>
      <c r="H314" s="407"/>
      <c r="I314" s="407"/>
    </row>
    <row r="315" spans="1:9" ht="14" x14ac:dyDescent="0.2">
      <c r="A315" s="176"/>
    </row>
    <row r="316" spans="1:9" ht="14" x14ac:dyDescent="0.2">
      <c r="A316" s="176"/>
    </row>
    <row r="317" spans="1:9" x14ac:dyDescent="0.2">
      <c r="A317" s="406" t="s">
        <v>408</v>
      </c>
      <c r="B317" s="407"/>
      <c r="C317" s="407"/>
      <c r="D317" s="407"/>
      <c r="E317" s="407"/>
      <c r="F317" s="407"/>
      <c r="G317" s="407"/>
      <c r="H317" s="407"/>
      <c r="I317" s="407"/>
    </row>
    <row r="318" spans="1:9" ht="13.5" thickBot="1" x14ac:dyDescent="0.25">
      <c r="A318" s="415" t="s">
        <v>409</v>
      </c>
      <c r="B318" s="407"/>
      <c r="C318" s="407"/>
      <c r="D318" s="407"/>
      <c r="E318" s="407"/>
      <c r="F318" s="407"/>
      <c r="G318" s="407"/>
      <c r="H318" s="407"/>
      <c r="I318" s="407"/>
    </row>
    <row r="319" spans="1:9" ht="13.5" thickBot="1" x14ac:dyDescent="0.25">
      <c r="A319" s="193" t="s">
        <v>410</v>
      </c>
      <c r="B319" s="194" t="s">
        <v>358</v>
      </c>
      <c r="C319" s="194" t="s">
        <v>411</v>
      </c>
    </row>
    <row r="320" spans="1:9" ht="14" x14ac:dyDescent="0.2">
      <c r="A320" s="179"/>
      <c r="B320" s="192"/>
      <c r="C320" s="192"/>
    </row>
    <row r="321" spans="1:9" ht="14" x14ac:dyDescent="0.2">
      <c r="A321" s="178" t="s">
        <v>412</v>
      </c>
      <c r="B321" s="184" t="s">
        <v>413</v>
      </c>
      <c r="C321" s="192" t="s">
        <v>414</v>
      </c>
    </row>
    <row r="322" spans="1:9" ht="14" x14ac:dyDescent="0.2">
      <c r="A322" s="178" t="s">
        <v>415</v>
      </c>
      <c r="B322" s="184" t="s">
        <v>416</v>
      </c>
      <c r="C322" s="192" t="s">
        <v>417</v>
      </c>
    </row>
    <row r="323" spans="1:9" ht="14" x14ac:dyDescent="0.2">
      <c r="A323" s="179"/>
      <c r="B323" s="192"/>
      <c r="C323" s="210"/>
    </row>
    <row r="324" spans="1:9" ht="14.5" thickBot="1" x14ac:dyDescent="0.25">
      <c r="A324" s="186"/>
      <c r="B324" s="201"/>
      <c r="C324" s="187"/>
    </row>
    <row r="325" spans="1:9" x14ac:dyDescent="0.2">
      <c r="A325" s="406" t="s">
        <v>418</v>
      </c>
      <c r="B325" s="407"/>
      <c r="C325" s="407"/>
      <c r="D325" s="407"/>
      <c r="E325" s="407"/>
      <c r="F325" s="407"/>
      <c r="G325" s="407"/>
      <c r="H325" s="407"/>
      <c r="I325" s="407"/>
    </row>
    <row r="327" spans="1:9" ht="14" x14ac:dyDescent="0.2">
      <c r="A327" s="176"/>
    </row>
    <row r="328" spans="1:9" ht="13.5" thickBot="1" x14ac:dyDescent="0.25">
      <c r="A328" s="406" t="s">
        <v>419</v>
      </c>
      <c r="B328" s="407"/>
      <c r="C328" s="407"/>
      <c r="D328" s="407"/>
      <c r="E328" s="407"/>
      <c r="F328" s="407"/>
      <c r="G328" s="407"/>
      <c r="H328" s="407"/>
      <c r="I328" s="407"/>
    </row>
    <row r="329" spans="1:9" ht="14.5" thickBot="1" x14ac:dyDescent="0.25">
      <c r="A329" s="193" t="s">
        <v>420</v>
      </c>
      <c r="B329" s="194" t="s">
        <v>421</v>
      </c>
      <c r="C329" s="194" t="s">
        <v>422</v>
      </c>
      <c r="D329" s="195"/>
    </row>
    <row r="330" spans="1:9" ht="18.75" customHeight="1" x14ac:dyDescent="0.2">
      <c r="A330" s="179"/>
      <c r="B330" s="192"/>
      <c r="C330" s="192"/>
      <c r="D330" s="414"/>
    </row>
    <row r="331" spans="1:9" ht="18.75" customHeight="1" x14ac:dyDescent="0.2">
      <c r="A331" s="178" t="s">
        <v>423</v>
      </c>
      <c r="B331" s="184" t="s">
        <v>424</v>
      </c>
      <c r="C331" s="184" t="s">
        <v>425</v>
      </c>
      <c r="D331" s="414"/>
    </row>
    <row r="332" spans="1:9" ht="18.75" customHeight="1" x14ac:dyDescent="0.2">
      <c r="A332" s="179"/>
      <c r="B332" s="192"/>
      <c r="C332" s="192"/>
      <c r="D332" s="414"/>
    </row>
    <row r="333" spans="1:9" ht="23.15" customHeight="1" thickBot="1" x14ac:dyDescent="0.25">
      <c r="A333" s="186"/>
      <c r="B333" s="201"/>
      <c r="C333" s="201"/>
      <c r="D333" s="180"/>
    </row>
    <row r="334" spans="1:9" x14ac:dyDescent="0.2">
      <c r="A334" s="406" t="s">
        <v>426</v>
      </c>
      <c r="B334" s="407"/>
      <c r="C334" s="407"/>
      <c r="D334" s="407"/>
      <c r="E334" s="407"/>
      <c r="F334" s="407"/>
      <c r="G334" s="407"/>
      <c r="H334" s="407"/>
      <c r="I334" s="407"/>
    </row>
    <row r="335" spans="1:9" ht="14" x14ac:dyDescent="0.2">
      <c r="A335" s="176"/>
    </row>
    <row r="336" spans="1:9" ht="14" x14ac:dyDescent="0.2">
      <c r="A336" s="176"/>
    </row>
    <row r="337" spans="1:9" ht="13.5" thickBot="1" x14ac:dyDescent="0.25">
      <c r="A337" s="406" t="s">
        <v>427</v>
      </c>
      <c r="B337" s="407"/>
      <c r="C337" s="407"/>
      <c r="D337" s="407"/>
      <c r="E337" s="407"/>
      <c r="F337" s="407"/>
      <c r="G337" s="407"/>
      <c r="H337" s="407"/>
      <c r="I337" s="407"/>
    </row>
    <row r="338" spans="1:9" ht="13.5" thickBot="1" x14ac:dyDescent="0.25">
      <c r="A338" s="193" t="s">
        <v>410</v>
      </c>
      <c r="B338" s="194" t="s">
        <v>358</v>
      </c>
      <c r="C338" s="194" t="s">
        <v>411</v>
      </c>
    </row>
    <row r="339" spans="1:9" x14ac:dyDescent="0.2">
      <c r="A339" s="411"/>
      <c r="B339" s="411"/>
      <c r="C339" s="411"/>
    </row>
    <row r="340" spans="1:9" x14ac:dyDescent="0.2">
      <c r="A340" s="412"/>
      <c r="B340" s="412"/>
      <c r="C340" s="412"/>
    </row>
    <row r="341" spans="1:9" x14ac:dyDescent="0.2">
      <c r="A341" s="412"/>
      <c r="B341" s="412"/>
      <c r="C341" s="412"/>
    </row>
    <row r="342" spans="1:9" x14ac:dyDescent="0.2">
      <c r="A342" s="412"/>
      <c r="B342" s="412"/>
      <c r="C342" s="412"/>
    </row>
    <row r="343" spans="1:9" ht="13.5" thickBot="1" x14ac:dyDescent="0.25">
      <c r="A343" s="413"/>
      <c r="B343" s="413"/>
      <c r="C343" s="413"/>
    </row>
    <row r="344" spans="1:9" x14ac:dyDescent="0.2">
      <c r="A344" s="406" t="s">
        <v>428</v>
      </c>
      <c r="B344" s="407"/>
      <c r="C344" s="407"/>
      <c r="D344" s="407"/>
      <c r="E344" s="407"/>
      <c r="F344" s="407"/>
      <c r="G344" s="407"/>
      <c r="H344" s="407"/>
      <c r="I344" s="407"/>
    </row>
    <row r="345" spans="1:9" ht="14" x14ac:dyDescent="0.2">
      <c r="A345" s="176"/>
    </row>
    <row r="346" spans="1:9" ht="14" x14ac:dyDescent="0.2">
      <c r="A346" s="176"/>
    </row>
    <row r="347" spans="1:9" ht="13.5" thickBot="1" x14ac:dyDescent="0.25">
      <c r="A347" s="406" t="s">
        <v>429</v>
      </c>
      <c r="B347" s="407"/>
      <c r="C347" s="407"/>
      <c r="D347" s="407"/>
      <c r="E347" s="407"/>
      <c r="F347" s="407"/>
      <c r="G347" s="407"/>
      <c r="H347" s="407"/>
      <c r="I347" s="407"/>
    </row>
    <row r="348" spans="1:9" ht="14.5" thickBot="1" x14ac:dyDescent="0.25">
      <c r="A348" s="193" t="s">
        <v>420</v>
      </c>
      <c r="B348" s="194" t="s">
        <v>421</v>
      </c>
      <c r="C348" s="194" t="s">
        <v>430</v>
      </c>
      <c r="D348" s="195"/>
    </row>
    <row r="349" spans="1:9" ht="18.75" customHeight="1" x14ac:dyDescent="0.2">
      <c r="A349" s="411"/>
      <c r="B349" s="411"/>
      <c r="C349" s="411"/>
      <c r="D349" s="414"/>
    </row>
    <row r="350" spans="1:9" ht="18.75" customHeight="1" x14ac:dyDescent="0.2">
      <c r="A350" s="412"/>
      <c r="B350" s="412"/>
      <c r="C350" s="412"/>
      <c r="D350" s="414"/>
    </row>
    <row r="351" spans="1:9" ht="18.75" customHeight="1" x14ac:dyDescent="0.2">
      <c r="A351" s="412"/>
      <c r="B351" s="412"/>
      <c r="C351" s="412"/>
      <c r="D351" s="414"/>
    </row>
    <row r="352" spans="1:9" ht="18.75" customHeight="1" x14ac:dyDescent="0.2">
      <c r="A352" s="412"/>
      <c r="B352" s="412"/>
      <c r="C352" s="412"/>
      <c r="D352" s="414"/>
    </row>
    <row r="353" spans="1:9" ht="23.15" customHeight="1" thickBot="1" x14ac:dyDescent="0.25">
      <c r="A353" s="413"/>
      <c r="B353" s="413"/>
      <c r="C353" s="413"/>
      <c r="D353" s="180"/>
    </row>
    <row r="354" spans="1:9" x14ac:dyDescent="0.2">
      <c r="A354" s="406" t="s">
        <v>431</v>
      </c>
      <c r="B354" s="407"/>
      <c r="C354" s="407"/>
      <c r="D354" s="407"/>
      <c r="E354" s="407"/>
      <c r="F354" s="407"/>
      <c r="G354" s="407"/>
      <c r="H354" s="407"/>
      <c r="I354" s="407"/>
    </row>
    <row r="355" spans="1:9" ht="14" x14ac:dyDescent="0.2">
      <c r="A355" s="176"/>
    </row>
    <row r="356" spans="1:9" ht="14" x14ac:dyDescent="0.2">
      <c r="A356" s="176"/>
    </row>
    <row r="357" spans="1:9" ht="13.5" thickBot="1" x14ac:dyDescent="0.25">
      <c r="A357" s="406" t="s">
        <v>432</v>
      </c>
      <c r="B357" s="407"/>
      <c r="C357" s="407"/>
      <c r="D357" s="407"/>
      <c r="E357" s="407"/>
      <c r="F357" s="407"/>
      <c r="G357" s="407"/>
      <c r="H357" s="407"/>
      <c r="I357" s="407"/>
    </row>
    <row r="358" spans="1:9" x14ac:dyDescent="0.2">
      <c r="A358" s="408"/>
    </row>
    <row r="359" spans="1:9" x14ac:dyDescent="0.2">
      <c r="A359" s="409"/>
    </row>
    <row r="360" spans="1:9" x14ac:dyDescent="0.2">
      <c r="A360" s="409"/>
    </row>
    <row r="361" spans="1:9" ht="13.5" thickBot="1" x14ac:dyDescent="0.25">
      <c r="A361" s="410"/>
    </row>
    <row r="363" spans="1:9" x14ac:dyDescent="0.2">
      <c r="A363" s="406" t="s">
        <v>433</v>
      </c>
      <c r="B363" s="407"/>
      <c r="C363" s="407"/>
      <c r="D363" s="407"/>
      <c r="E363" s="407"/>
      <c r="F363" s="407"/>
      <c r="G363" s="407"/>
      <c r="H363" s="407"/>
      <c r="I363" s="407"/>
    </row>
    <row r="364" spans="1:9" x14ac:dyDescent="0.2">
      <c r="A364" s="406" t="s">
        <v>434</v>
      </c>
      <c r="B364" s="407"/>
      <c r="C364" s="407"/>
      <c r="D364" s="407"/>
      <c r="E364" s="407"/>
      <c r="F364" s="407"/>
      <c r="G364" s="407"/>
      <c r="H364" s="407"/>
      <c r="I364" s="407"/>
    </row>
  </sheetData>
  <mergeCells count="186">
    <mergeCell ref="A9:I9"/>
    <mergeCell ref="A11:I11"/>
    <mergeCell ref="A12:I12"/>
    <mergeCell ref="A13:B13"/>
    <mergeCell ref="C13:C14"/>
    <mergeCell ref="D13:F13"/>
    <mergeCell ref="A14:B14"/>
    <mergeCell ref="A1:I1"/>
    <mergeCell ref="A2:I2"/>
    <mergeCell ref="A3:I3"/>
    <mergeCell ref="A4:I4"/>
    <mergeCell ref="A5:I5"/>
    <mergeCell ref="A6:A7"/>
    <mergeCell ref="B6:B7"/>
    <mergeCell ref="A28:B28"/>
    <mergeCell ref="A29:B29"/>
    <mergeCell ref="A30:A33"/>
    <mergeCell ref="A34:B34"/>
    <mergeCell ref="A35:I35"/>
    <mergeCell ref="A36:I36"/>
    <mergeCell ref="A15:B15"/>
    <mergeCell ref="G15:G19"/>
    <mergeCell ref="H15:H33"/>
    <mergeCell ref="A16:A19"/>
    <mergeCell ref="A20:B20"/>
    <mergeCell ref="G20:G22"/>
    <mergeCell ref="A21:A22"/>
    <mergeCell ref="A23:B23"/>
    <mergeCell ref="A24:A26"/>
    <mergeCell ref="A27:B27"/>
    <mergeCell ref="A38:I38"/>
    <mergeCell ref="A42:I42"/>
    <mergeCell ref="B43:B48"/>
    <mergeCell ref="A50:I50"/>
    <mergeCell ref="A52:I52"/>
    <mergeCell ref="C53:G53"/>
    <mergeCell ref="I53:I60"/>
    <mergeCell ref="C54:G54"/>
    <mergeCell ref="B57:B58"/>
    <mergeCell ref="H57:H58"/>
    <mergeCell ref="A77:I77"/>
    <mergeCell ref="A78:A80"/>
    <mergeCell ref="B78:B79"/>
    <mergeCell ref="A81:I81"/>
    <mergeCell ref="A82:I82"/>
    <mergeCell ref="A83:I83"/>
    <mergeCell ref="H59:H60"/>
    <mergeCell ref="A64:I64"/>
    <mergeCell ref="B65:B67"/>
    <mergeCell ref="B68:B72"/>
    <mergeCell ref="A74:I74"/>
    <mergeCell ref="A75:I75"/>
    <mergeCell ref="B59:B60"/>
    <mergeCell ref="C59:C60"/>
    <mergeCell ref="D59:D60"/>
    <mergeCell ref="E59:E60"/>
    <mergeCell ref="F59:F60"/>
    <mergeCell ref="G59:G60"/>
    <mergeCell ref="C94:C97"/>
    <mergeCell ref="D94:D96"/>
    <mergeCell ref="A98:I98"/>
    <mergeCell ref="A99:I99"/>
    <mergeCell ref="A100:I100"/>
    <mergeCell ref="A102:I102"/>
    <mergeCell ref="B84:B85"/>
    <mergeCell ref="A87:I87"/>
    <mergeCell ref="A88:I88"/>
    <mergeCell ref="A90:I90"/>
    <mergeCell ref="A91:I91"/>
    <mergeCell ref="D92:D93"/>
    <mergeCell ref="A119:I119"/>
    <mergeCell ref="A121:I121"/>
    <mergeCell ref="A123:I123"/>
    <mergeCell ref="D125:D126"/>
    <mergeCell ref="A127:I127"/>
    <mergeCell ref="A129:I129"/>
    <mergeCell ref="A103:I103"/>
    <mergeCell ref="A104:I104"/>
    <mergeCell ref="A105:I105"/>
    <mergeCell ref="F107:F110"/>
    <mergeCell ref="G107:G109"/>
    <mergeCell ref="A111:I111"/>
    <mergeCell ref="A138:A142"/>
    <mergeCell ref="B138:B142"/>
    <mergeCell ref="C138:C142"/>
    <mergeCell ref="F138:F142"/>
    <mergeCell ref="G138:G141"/>
    <mergeCell ref="A143:I143"/>
    <mergeCell ref="B131:B132"/>
    <mergeCell ref="C131:C132"/>
    <mergeCell ref="D131:D132"/>
    <mergeCell ref="A133:I133"/>
    <mergeCell ref="A135:I135"/>
    <mergeCell ref="A136:I136"/>
    <mergeCell ref="A162:I162"/>
    <mergeCell ref="A163:I163"/>
    <mergeCell ref="A164:I164"/>
    <mergeCell ref="A165:I165"/>
    <mergeCell ref="A167:I167"/>
    <mergeCell ref="A168:A176"/>
    <mergeCell ref="B168:B175"/>
    <mergeCell ref="A144:I144"/>
    <mergeCell ref="A146:I146"/>
    <mergeCell ref="A150:I150"/>
    <mergeCell ref="A152:I152"/>
    <mergeCell ref="A153:I153"/>
    <mergeCell ref="B159:B161"/>
    <mergeCell ref="A177:I177"/>
    <mergeCell ref="A179:I179"/>
    <mergeCell ref="A180:I180"/>
    <mergeCell ref="A181:I181"/>
    <mergeCell ref="A183:A191"/>
    <mergeCell ref="C183:C191"/>
    <mergeCell ref="D183:D191"/>
    <mergeCell ref="E183:E191"/>
    <mergeCell ref="F183:F191"/>
    <mergeCell ref="G183:G190"/>
    <mergeCell ref="A208:A218"/>
    <mergeCell ref="B208:B218"/>
    <mergeCell ref="C208:C218"/>
    <mergeCell ref="D208:D217"/>
    <mergeCell ref="A220:I220"/>
    <mergeCell ref="A221:A230"/>
    <mergeCell ref="B221:B229"/>
    <mergeCell ref="A193:I193"/>
    <mergeCell ref="A195:A203"/>
    <mergeCell ref="B195:B202"/>
    <mergeCell ref="C195:C202"/>
    <mergeCell ref="D195:D202"/>
    <mergeCell ref="A206:I206"/>
    <mergeCell ref="A245:I245"/>
    <mergeCell ref="F247:F251"/>
    <mergeCell ref="G247:G250"/>
    <mergeCell ref="A253:I253"/>
    <mergeCell ref="A254:A259"/>
    <mergeCell ref="B254:B258"/>
    <mergeCell ref="A231:I231"/>
    <mergeCell ref="A233:I233"/>
    <mergeCell ref="A234:A240"/>
    <mergeCell ref="B234:B239"/>
    <mergeCell ref="A242:I242"/>
    <mergeCell ref="A244:I244"/>
    <mergeCell ref="A260:I260"/>
    <mergeCell ref="A262:I262"/>
    <mergeCell ref="B263:B268"/>
    <mergeCell ref="A271:I271"/>
    <mergeCell ref="A272:I272"/>
    <mergeCell ref="A275:A279"/>
    <mergeCell ref="B275:B279"/>
    <mergeCell ref="C275:C279"/>
    <mergeCell ref="D275:D279"/>
    <mergeCell ref="A300:A304"/>
    <mergeCell ref="B300:B304"/>
    <mergeCell ref="C300:C303"/>
    <mergeCell ref="A307:I307"/>
    <mergeCell ref="A309:A313"/>
    <mergeCell ref="B309:B313"/>
    <mergeCell ref="C309:C312"/>
    <mergeCell ref="A283:A284"/>
    <mergeCell ref="B283:B284"/>
    <mergeCell ref="A286:I286"/>
    <mergeCell ref="A287:I287"/>
    <mergeCell ref="A288:I288"/>
    <mergeCell ref="A298:I298"/>
    <mergeCell ref="A334:I334"/>
    <mergeCell ref="A337:I337"/>
    <mergeCell ref="A339:A343"/>
    <mergeCell ref="B339:B343"/>
    <mergeCell ref="C339:C343"/>
    <mergeCell ref="A344:I344"/>
    <mergeCell ref="A314:I314"/>
    <mergeCell ref="A317:I317"/>
    <mergeCell ref="A318:I318"/>
    <mergeCell ref="A325:I325"/>
    <mergeCell ref="A328:I328"/>
    <mergeCell ref="D330:D332"/>
    <mergeCell ref="A357:I357"/>
    <mergeCell ref="A358:A361"/>
    <mergeCell ref="A363:I363"/>
    <mergeCell ref="A364:I364"/>
    <mergeCell ref="A347:I347"/>
    <mergeCell ref="A349:A353"/>
    <mergeCell ref="B349:B353"/>
    <mergeCell ref="C349:C353"/>
    <mergeCell ref="D349:D352"/>
    <mergeCell ref="A354:I354"/>
  </mergeCells>
  <phoneticPr fontId="7"/>
  <pageMargins left="0.75" right="0.75" top="1" bottom="1" header="0.5" footer="0.5"/>
  <pageSetup paperSize="9" scale="3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23F6A-2F0B-4D9D-8354-11C6E40D9965}">
  <sheetPr>
    <tabColor rgb="FF7030A0"/>
    <pageSetUpPr fitToPage="1"/>
  </sheetPr>
  <dimension ref="A1:M26"/>
  <sheetViews>
    <sheetView workbookViewId="0"/>
  </sheetViews>
  <sheetFormatPr defaultRowHeight="13" x14ac:dyDescent="0.2"/>
  <cols>
    <col min="1" max="1" width="9" style="13"/>
    <col min="2" max="2" width="15.08984375" style="13" bestFit="1" customWidth="1"/>
    <col min="3" max="3" width="9" style="13"/>
    <col min="4" max="4" width="9" customWidth="1"/>
    <col min="5" max="5" width="11" style="233" bestFit="1" customWidth="1"/>
    <col min="6" max="6" width="28.08984375" style="13" bestFit="1" customWidth="1"/>
    <col min="7" max="7" width="79" style="298" customWidth="1"/>
    <col min="8" max="8" width="47.08984375" bestFit="1" customWidth="1"/>
  </cols>
  <sheetData>
    <row r="1" spans="1:7" ht="50.15" customHeight="1" x14ac:dyDescent="0.2">
      <c r="A1" s="288" t="s">
        <v>479</v>
      </c>
      <c r="B1" s="289" t="s">
        <v>36</v>
      </c>
      <c r="C1" s="289" t="s">
        <v>486</v>
      </c>
      <c r="D1" s="289" t="s">
        <v>488</v>
      </c>
      <c r="E1" s="289" t="s">
        <v>483</v>
      </c>
      <c r="F1" s="289" t="s">
        <v>501</v>
      </c>
      <c r="G1" s="290" t="s">
        <v>478</v>
      </c>
    </row>
    <row r="2" spans="1:7" ht="50.15" customHeight="1" x14ac:dyDescent="0.2">
      <c r="A2" s="21">
        <v>1</v>
      </c>
      <c r="B2" s="291" t="s">
        <v>8</v>
      </c>
      <c r="C2" s="293" t="s">
        <v>487</v>
      </c>
      <c r="D2" s="148" t="s">
        <v>489</v>
      </c>
      <c r="E2" s="230">
        <v>55200</v>
      </c>
      <c r="F2" s="291"/>
      <c r="G2" s="221" t="s">
        <v>480</v>
      </c>
    </row>
    <row r="3" spans="1:7" ht="50.15" customHeight="1" x14ac:dyDescent="0.2">
      <c r="A3" s="21">
        <v>2</v>
      </c>
      <c r="B3" s="292" t="s">
        <v>195</v>
      </c>
      <c r="C3" s="293" t="s">
        <v>487</v>
      </c>
      <c r="D3" s="148" t="s">
        <v>489</v>
      </c>
      <c r="E3" s="230">
        <v>45300</v>
      </c>
      <c r="F3" s="291"/>
      <c r="G3" s="221" t="s">
        <v>480</v>
      </c>
    </row>
    <row r="4" spans="1:7" ht="50.15" customHeight="1" x14ac:dyDescent="0.2">
      <c r="A4" s="21">
        <v>3</v>
      </c>
      <c r="B4" s="291" t="s">
        <v>9</v>
      </c>
      <c r="C4" s="293" t="s">
        <v>487</v>
      </c>
      <c r="D4" s="148" t="s">
        <v>489</v>
      </c>
      <c r="E4" s="229">
        <v>35600</v>
      </c>
      <c r="F4" s="292"/>
      <c r="G4" s="221" t="s">
        <v>480</v>
      </c>
    </row>
    <row r="5" spans="1:7" ht="50.15" customHeight="1" x14ac:dyDescent="0.2">
      <c r="A5" s="21">
        <v>4</v>
      </c>
      <c r="B5" s="292" t="s">
        <v>7</v>
      </c>
      <c r="C5" s="293" t="s">
        <v>487</v>
      </c>
      <c r="D5" s="148" t="s">
        <v>489</v>
      </c>
      <c r="E5" s="231">
        <v>31600</v>
      </c>
      <c r="F5" s="293"/>
      <c r="G5" s="221" t="s">
        <v>480</v>
      </c>
    </row>
    <row r="6" spans="1:7" ht="50.15" customHeight="1" x14ac:dyDescent="0.2">
      <c r="A6" s="21">
        <v>5</v>
      </c>
      <c r="B6" s="293" t="s">
        <v>45</v>
      </c>
      <c r="C6" s="293" t="s">
        <v>490</v>
      </c>
      <c r="D6" s="148"/>
      <c r="E6" s="231">
        <v>150</v>
      </c>
      <c r="F6" s="293"/>
      <c r="G6" s="221" t="s">
        <v>481</v>
      </c>
    </row>
    <row r="7" spans="1:7" ht="50.15" customHeight="1" x14ac:dyDescent="0.2">
      <c r="A7" s="21">
        <v>6</v>
      </c>
      <c r="B7" s="21" t="s">
        <v>477</v>
      </c>
      <c r="C7" s="21"/>
      <c r="D7" s="65"/>
      <c r="E7" s="229">
        <f>ROUND(E9*E8^E10,1)</f>
        <v>48.4</v>
      </c>
      <c r="F7" s="294" t="str">
        <f>"="&amp;B9&amp;"×"&amp;B8&amp;"^"&amp;B10</f>
        <v>=変数値Ａ×純調査費^変数値ｂ</v>
      </c>
      <c r="G7" s="221" t="s">
        <v>491</v>
      </c>
    </row>
    <row r="8" spans="1:7" ht="50.15" customHeight="1" x14ac:dyDescent="0.2">
      <c r="A8" s="21">
        <v>7</v>
      </c>
      <c r="B8" s="21" t="s">
        <v>17</v>
      </c>
      <c r="C8" s="21"/>
      <c r="D8" s="65"/>
      <c r="E8" s="229">
        <f>ウ_【効果捕獲】_6P!H15</f>
        <v>6576372</v>
      </c>
      <c r="F8" s="295"/>
      <c r="G8" s="221"/>
    </row>
    <row r="9" spans="1:7" ht="50.15" customHeight="1" x14ac:dyDescent="0.2">
      <c r="A9" s="21">
        <v>7</v>
      </c>
      <c r="B9" s="21" t="s">
        <v>32</v>
      </c>
      <c r="C9" s="21"/>
      <c r="D9" s="65"/>
      <c r="E9" s="229">
        <v>285.3</v>
      </c>
      <c r="F9" s="296"/>
      <c r="G9" s="221" t="s">
        <v>491</v>
      </c>
    </row>
    <row r="10" spans="1:7" ht="50.15" customHeight="1" x14ac:dyDescent="0.2">
      <c r="A10" s="21">
        <v>8</v>
      </c>
      <c r="B10" s="21" t="s">
        <v>33</v>
      </c>
      <c r="C10" s="21"/>
      <c r="D10" s="65"/>
      <c r="E10" s="234">
        <v>-0.113</v>
      </c>
      <c r="F10" s="297"/>
      <c r="G10" s="221" t="s">
        <v>491</v>
      </c>
    </row>
    <row r="11" spans="1:7" ht="50.15" customHeight="1" x14ac:dyDescent="0.2">
      <c r="A11" s="21">
        <v>9</v>
      </c>
      <c r="B11" s="21" t="s">
        <v>18</v>
      </c>
      <c r="C11" s="21"/>
      <c r="D11" s="65"/>
      <c r="E11" s="229">
        <f>E8*(E7/100)</f>
        <v>3182964.048</v>
      </c>
      <c r="F11" s="295"/>
      <c r="G11" s="221"/>
    </row>
    <row r="12" spans="1:7" ht="50.15" customHeight="1" x14ac:dyDescent="0.2">
      <c r="A12" s="21">
        <v>10</v>
      </c>
      <c r="B12" s="21" t="s">
        <v>482</v>
      </c>
      <c r="C12" s="21" t="s">
        <v>484</v>
      </c>
      <c r="D12" s="65"/>
      <c r="E12" s="229">
        <v>527</v>
      </c>
      <c r="F12" s="21"/>
      <c r="G12" s="221" t="s">
        <v>485</v>
      </c>
    </row>
    <row r="13" spans="1:7" ht="50.15" customHeight="1" x14ac:dyDescent="0.2">
      <c r="A13" s="21">
        <v>11</v>
      </c>
      <c r="B13" s="21" t="s">
        <v>494</v>
      </c>
      <c r="C13" s="21" t="s">
        <v>495</v>
      </c>
      <c r="D13" s="65"/>
      <c r="E13" s="229">
        <v>10</v>
      </c>
      <c r="F13" s="21"/>
      <c r="G13" s="221" t="s">
        <v>493</v>
      </c>
    </row>
    <row r="14" spans="1:7" ht="50.15" customHeight="1" x14ac:dyDescent="0.2">
      <c r="A14" s="21">
        <v>12</v>
      </c>
      <c r="B14" s="21" t="s">
        <v>500</v>
      </c>
      <c r="C14" s="21" t="s">
        <v>502</v>
      </c>
      <c r="D14" s="65" t="s">
        <v>504</v>
      </c>
      <c r="E14" s="229">
        <f>(220+2220+2880)*2</f>
        <v>10640</v>
      </c>
      <c r="F14" s="21"/>
      <c r="G14" s="221" t="s">
        <v>522</v>
      </c>
    </row>
    <row r="15" spans="1:7" ht="50.15" customHeight="1" x14ac:dyDescent="0.2">
      <c r="A15" s="21">
        <v>13</v>
      </c>
      <c r="B15" s="21" t="s">
        <v>500</v>
      </c>
      <c r="C15" s="21" t="s">
        <v>502</v>
      </c>
      <c r="D15" s="65" t="s">
        <v>504</v>
      </c>
      <c r="E15" s="229">
        <f>(220+1980+1930)*2</f>
        <v>8260</v>
      </c>
      <c r="F15" s="21"/>
      <c r="G15" s="221" t="s">
        <v>521</v>
      </c>
    </row>
    <row r="16" spans="1:7" ht="50.15" customHeight="1" x14ac:dyDescent="0.2">
      <c r="A16" s="21">
        <v>14</v>
      </c>
      <c r="B16" s="21" t="s">
        <v>500</v>
      </c>
      <c r="C16" s="21" t="s">
        <v>502</v>
      </c>
      <c r="D16" s="65" t="s">
        <v>504</v>
      </c>
      <c r="E16" s="229">
        <f>(220+1520)*2</f>
        <v>3480</v>
      </c>
      <c r="F16" s="21"/>
      <c r="G16" s="221" t="s">
        <v>508</v>
      </c>
    </row>
    <row r="17" spans="1:13" ht="50.15" customHeight="1" x14ac:dyDescent="0.2">
      <c r="A17" s="21">
        <v>15</v>
      </c>
      <c r="B17" s="21" t="s">
        <v>500</v>
      </c>
      <c r="C17" s="21" t="s">
        <v>502</v>
      </c>
      <c r="D17" s="65" t="s">
        <v>504</v>
      </c>
      <c r="E17" s="229">
        <f>(220+510)*2</f>
        <v>1460</v>
      </c>
      <c r="F17" s="21"/>
      <c r="G17" s="221" t="s">
        <v>509</v>
      </c>
    </row>
    <row r="18" spans="1:13" ht="50.15" customHeight="1" x14ac:dyDescent="0.2">
      <c r="A18" s="21">
        <v>16</v>
      </c>
      <c r="B18" s="21" t="s">
        <v>500</v>
      </c>
      <c r="C18" s="21" t="s">
        <v>502</v>
      </c>
      <c r="D18" s="65" t="s">
        <v>504</v>
      </c>
      <c r="E18" s="229">
        <f>(220+1690+1930+350)*2</f>
        <v>8380</v>
      </c>
      <c r="F18" s="21"/>
      <c r="G18" s="221" t="s">
        <v>510</v>
      </c>
      <c r="M18" s="146"/>
    </row>
    <row r="19" spans="1:13" ht="50.15" customHeight="1" x14ac:dyDescent="0.2">
      <c r="A19" s="21">
        <v>17</v>
      </c>
      <c r="B19" s="21" t="s">
        <v>513</v>
      </c>
      <c r="C19" s="21" t="s">
        <v>495</v>
      </c>
      <c r="D19" s="65"/>
      <c r="E19" s="229">
        <v>15</v>
      </c>
      <c r="F19" s="21"/>
      <c r="G19" s="221" t="s">
        <v>514</v>
      </c>
      <c r="M19" s="146"/>
    </row>
    <row r="20" spans="1:13" ht="50.15" customHeight="1" x14ac:dyDescent="0.2">
      <c r="A20" s="21">
        <v>18</v>
      </c>
      <c r="B20" s="21" t="s">
        <v>518</v>
      </c>
      <c r="C20" s="21" t="s">
        <v>502</v>
      </c>
      <c r="D20" s="65"/>
      <c r="E20" s="229">
        <v>2790</v>
      </c>
      <c r="F20" s="21"/>
      <c r="G20" s="221" t="s">
        <v>519</v>
      </c>
      <c r="M20" s="146"/>
    </row>
    <row r="21" spans="1:13" x14ac:dyDescent="0.2">
      <c r="E21"/>
    </row>
    <row r="22" spans="1:13" x14ac:dyDescent="0.2">
      <c r="E22"/>
    </row>
    <row r="23" spans="1:13" x14ac:dyDescent="0.2">
      <c r="E23"/>
    </row>
    <row r="24" spans="1:13" x14ac:dyDescent="0.2">
      <c r="E24"/>
    </row>
    <row r="25" spans="1:13" x14ac:dyDescent="0.2">
      <c r="E25"/>
    </row>
    <row r="26" spans="1:13" x14ac:dyDescent="0.2">
      <c r="E26"/>
    </row>
  </sheetData>
  <phoneticPr fontId="7"/>
  <pageMargins left="0.7" right="0.7" top="0.75" bottom="0.75" header="0.3" footer="0.3"/>
  <pageSetup paperSize="9" scale="8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005B-0EFC-4BA8-AC46-F095C9767ED5}">
  <sheetPr>
    <tabColor rgb="FF7030A0"/>
    <pageSetUpPr fitToPage="1"/>
  </sheetPr>
  <dimension ref="B1:Q61"/>
  <sheetViews>
    <sheetView workbookViewId="0"/>
  </sheetViews>
  <sheetFormatPr defaultColWidth="9" defaultRowHeight="13" x14ac:dyDescent="0.2"/>
  <cols>
    <col min="1" max="1" width="1.6328125" style="13" customWidth="1"/>
    <col min="2" max="3" width="17.08984375" style="13" customWidth="1"/>
    <col min="4" max="4" width="20.08984375" style="13" customWidth="1"/>
    <col min="5" max="5" width="15.08984375" style="13" bestFit="1" customWidth="1"/>
    <col min="6" max="6" width="11.6328125" style="14" customWidth="1"/>
    <col min="7" max="7" width="9.26953125" style="13" bestFit="1" customWidth="1"/>
    <col min="8" max="8" width="28.6328125" style="15" customWidth="1"/>
    <col min="9" max="9" width="12.08984375" style="14" bestFit="1" customWidth="1"/>
    <col min="10" max="10" width="60.6328125" style="13" customWidth="1"/>
    <col min="11" max="12" width="1.90625" style="13" customWidth="1"/>
    <col min="13" max="13" width="15.90625" style="13" bestFit="1" customWidth="1"/>
    <col min="14" max="14" width="15.08984375" style="13" bestFit="1" customWidth="1"/>
    <col min="15" max="15" width="12.453125" style="13" customWidth="1"/>
    <col min="16" max="16" width="11.90625" style="13" customWidth="1"/>
    <col min="17" max="17" width="14" style="13" customWidth="1"/>
    <col min="18" max="16384" width="9" style="13"/>
  </cols>
  <sheetData>
    <row r="1" spans="2:16" s="1" customFormat="1" ht="21.75" customHeight="1" x14ac:dyDescent="0.2">
      <c r="B1" s="28" t="s">
        <v>438</v>
      </c>
      <c r="C1" s="28"/>
      <c r="F1" s="2"/>
      <c r="H1" s="13"/>
      <c r="I1" s="2"/>
      <c r="O1" s="15"/>
      <c r="P1" s="15"/>
    </row>
    <row r="2" spans="2:16" ht="19.5" customHeight="1" x14ac:dyDescent="0.2">
      <c r="B2" s="479" t="s">
        <v>531</v>
      </c>
      <c r="C2" s="394"/>
      <c r="D2" s="394"/>
      <c r="E2" s="394"/>
      <c r="F2" s="394"/>
      <c r="G2" s="394"/>
      <c r="H2" s="394"/>
      <c r="I2" s="394"/>
      <c r="J2" s="480"/>
    </row>
    <row r="3" spans="2:16" ht="6.75" customHeight="1" thickBot="1" x14ac:dyDescent="0.25">
      <c r="J3" s="16"/>
    </row>
    <row r="4" spans="2:16" s="15" customFormat="1" ht="18" customHeight="1" x14ac:dyDescent="0.2">
      <c r="B4" s="17" t="s">
        <v>0</v>
      </c>
      <c r="C4" s="337"/>
      <c r="D4" s="18" t="s">
        <v>36</v>
      </c>
      <c r="E4" s="18" t="s">
        <v>1</v>
      </c>
      <c r="F4" s="19" t="s">
        <v>2</v>
      </c>
      <c r="G4" s="18" t="s">
        <v>3</v>
      </c>
      <c r="H4" s="18" t="s">
        <v>4</v>
      </c>
      <c r="I4" s="19" t="s">
        <v>5</v>
      </c>
      <c r="J4" s="20" t="s">
        <v>6</v>
      </c>
    </row>
    <row r="5" spans="2:16" ht="30" customHeight="1" x14ac:dyDescent="0.2">
      <c r="B5" s="488" t="s">
        <v>439</v>
      </c>
      <c r="C5" s="477" t="s">
        <v>492</v>
      </c>
      <c r="D5" s="400" t="s">
        <v>440</v>
      </c>
      <c r="E5" s="44" t="s">
        <v>73</v>
      </c>
      <c r="F5" s="22">
        <f>単価!E3</f>
        <v>45300</v>
      </c>
      <c r="G5" s="326">
        <v>7</v>
      </c>
      <c r="H5" s="23" t="s">
        <v>11</v>
      </c>
      <c r="I5" s="22">
        <f>+F5*G5</f>
        <v>317100</v>
      </c>
      <c r="J5" s="482"/>
    </row>
    <row r="6" spans="2:16" ht="30" customHeight="1" x14ac:dyDescent="0.2">
      <c r="B6" s="489"/>
      <c r="C6" s="481"/>
      <c r="D6" s="401"/>
      <c r="E6" s="44" t="s">
        <v>9</v>
      </c>
      <c r="F6" s="22">
        <f>単価!E4</f>
        <v>35600</v>
      </c>
      <c r="G6" s="326">
        <v>7</v>
      </c>
      <c r="H6" s="23" t="s">
        <v>11</v>
      </c>
      <c r="I6" s="22">
        <f t="shared" ref="I6:I11" si="0">+F6*G6</f>
        <v>249200</v>
      </c>
      <c r="J6" s="483"/>
    </row>
    <row r="7" spans="2:16" ht="30" customHeight="1" x14ac:dyDescent="0.2">
      <c r="B7" s="489"/>
      <c r="C7" s="481"/>
      <c r="D7" s="401"/>
      <c r="E7" s="44" t="s">
        <v>7</v>
      </c>
      <c r="F7" s="22">
        <f>単価!E5</f>
        <v>31600</v>
      </c>
      <c r="G7" s="326">
        <v>26.5</v>
      </c>
      <c r="H7" s="23" t="s">
        <v>11</v>
      </c>
      <c r="I7" s="22">
        <f t="shared" si="0"/>
        <v>837400</v>
      </c>
      <c r="J7" s="483"/>
    </row>
    <row r="8" spans="2:16" ht="30" customHeight="1" x14ac:dyDescent="0.2">
      <c r="B8" s="489"/>
      <c r="C8" s="481"/>
      <c r="D8" s="400" t="s">
        <v>74</v>
      </c>
      <c r="E8" s="44" t="s">
        <v>8</v>
      </c>
      <c r="F8" s="22">
        <f>単価!E2</f>
        <v>55200</v>
      </c>
      <c r="G8" s="326">
        <v>1</v>
      </c>
      <c r="H8" s="23" t="s">
        <v>11</v>
      </c>
      <c r="I8" s="22">
        <f t="shared" si="0"/>
        <v>55200</v>
      </c>
      <c r="J8" s="482"/>
      <c r="M8" s="24"/>
      <c r="N8" s="14"/>
      <c r="O8" s="14"/>
    </row>
    <row r="9" spans="2:16" ht="30" customHeight="1" x14ac:dyDescent="0.2">
      <c r="B9" s="489"/>
      <c r="C9" s="481"/>
      <c r="D9" s="401"/>
      <c r="E9" s="44" t="s">
        <v>195</v>
      </c>
      <c r="F9" s="22">
        <f>単価!E3</f>
        <v>45300</v>
      </c>
      <c r="G9" s="326">
        <v>2</v>
      </c>
      <c r="H9" s="23" t="s">
        <v>11</v>
      </c>
      <c r="I9" s="22">
        <f t="shared" si="0"/>
        <v>90600</v>
      </c>
      <c r="J9" s="483"/>
      <c r="M9" s="24"/>
      <c r="N9" s="24"/>
    </row>
    <row r="10" spans="2:16" ht="30" customHeight="1" x14ac:dyDescent="0.2">
      <c r="B10" s="489"/>
      <c r="C10" s="481"/>
      <c r="D10" s="401"/>
      <c r="E10" s="44" t="s">
        <v>9</v>
      </c>
      <c r="F10" s="22">
        <f>単価!E4</f>
        <v>35600</v>
      </c>
      <c r="G10" s="326">
        <v>2</v>
      </c>
      <c r="H10" s="23" t="s">
        <v>11</v>
      </c>
      <c r="I10" s="22">
        <f t="shared" si="0"/>
        <v>71200</v>
      </c>
      <c r="J10" s="483"/>
      <c r="M10" s="24"/>
      <c r="N10" s="24"/>
    </row>
    <row r="11" spans="2:16" ht="30" customHeight="1" x14ac:dyDescent="0.2">
      <c r="B11" s="489"/>
      <c r="C11" s="478"/>
      <c r="D11" s="402"/>
      <c r="E11" s="44" t="s">
        <v>7</v>
      </c>
      <c r="F11" s="22">
        <f>単価!E5</f>
        <v>31600</v>
      </c>
      <c r="G11" s="326">
        <v>2</v>
      </c>
      <c r="H11" s="23" t="s">
        <v>11</v>
      </c>
      <c r="I11" s="22">
        <f t="shared" si="0"/>
        <v>63200</v>
      </c>
      <c r="J11" s="484"/>
      <c r="N11" s="338"/>
    </row>
    <row r="12" spans="2:16" ht="23.25" customHeight="1" x14ac:dyDescent="0.2">
      <c r="B12" s="489"/>
      <c r="C12" s="485" t="s">
        <v>10</v>
      </c>
      <c r="D12" s="486"/>
      <c r="E12" s="486"/>
      <c r="F12" s="487"/>
      <c r="G12" s="326">
        <f>SUM(G5:G11)</f>
        <v>47.5</v>
      </c>
      <c r="H12" s="23" t="s">
        <v>11</v>
      </c>
      <c r="I12" s="22">
        <f>SUM(I5:I11)</f>
        <v>1683900</v>
      </c>
      <c r="J12" s="111"/>
      <c r="M12" s="24"/>
      <c r="N12" s="14"/>
    </row>
    <row r="13" spans="2:16" ht="30" customHeight="1" x14ac:dyDescent="0.2">
      <c r="B13" s="489"/>
      <c r="C13" s="21" t="s">
        <v>441</v>
      </c>
      <c r="D13" s="53" t="s">
        <v>442</v>
      </c>
      <c r="E13" s="21" t="s">
        <v>443</v>
      </c>
      <c r="F13" s="22"/>
      <c r="G13" s="327">
        <v>1</v>
      </c>
      <c r="H13" s="23" t="s">
        <v>66</v>
      </c>
      <c r="I13" s="22">
        <f>ROUNDDOWN(I12*0.016,0)</f>
        <v>26942</v>
      </c>
      <c r="J13" s="356" t="s">
        <v>533</v>
      </c>
      <c r="M13" s="470" t="s">
        <v>444</v>
      </c>
      <c r="N13" s="471"/>
    </row>
    <row r="14" spans="2:16" ht="30" customHeight="1" x14ac:dyDescent="0.2">
      <c r="B14" s="489"/>
      <c r="C14" s="90" t="s">
        <v>445</v>
      </c>
      <c r="D14" s="91" t="s">
        <v>74</v>
      </c>
      <c r="E14" s="21" t="s">
        <v>99</v>
      </c>
      <c r="F14" s="22"/>
      <c r="G14" s="327">
        <v>1</v>
      </c>
      <c r="H14" s="23" t="s">
        <v>66</v>
      </c>
      <c r="I14" s="22">
        <f>ROUNDDOWN(4.7*(ROUNDDOWN(SUM(I12:I13),-3)/1000)^0.38*1000,-3)</f>
        <v>79000</v>
      </c>
      <c r="J14" s="357" t="s">
        <v>532</v>
      </c>
      <c r="M14" s="44" t="s">
        <v>8</v>
      </c>
      <c r="N14" s="44">
        <v>51200</v>
      </c>
    </row>
    <row r="15" spans="2:16" ht="30" customHeight="1" x14ac:dyDescent="0.2">
      <c r="B15" s="489"/>
      <c r="C15" s="472" t="s">
        <v>10</v>
      </c>
      <c r="D15" s="473"/>
      <c r="E15" s="473"/>
      <c r="F15" s="474"/>
      <c r="G15" s="327">
        <v>1</v>
      </c>
      <c r="H15" s="23" t="s">
        <v>528</v>
      </c>
      <c r="I15" s="14">
        <f>SUM(I13:I14)</f>
        <v>105942</v>
      </c>
      <c r="J15" s="358">
        <f>I14</f>
        <v>79000</v>
      </c>
      <c r="M15" s="44" t="s">
        <v>73</v>
      </c>
      <c r="N15" s="44">
        <v>41600</v>
      </c>
    </row>
    <row r="16" spans="2:16" ht="30" customHeight="1" x14ac:dyDescent="0.2">
      <c r="B16" s="490"/>
      <c r="C16" s="485" t="s">
        <v>529</v>
      </c>
      <c r="D16" s="486"/>
      <c r="E16" s="486"/>
      <c r="F16" s="486"/>
      <c r="G16" s="486"/>
      <c r="H16" s="487"/>
      <c r="I16" s="22">
        <f>SUM(I12,I15)</f>
        <v>1789842</v>
      </c>
      <c r="J16" s="328"/>
      <c r="M16" s="44" t="s">
        <v>9</v>
      </c>
      <c r="N16" s="44">
        <v>32800</v>
      </c>
    </row>
    <row r="17" spans="2:17" ht="30" customHeight="1" thickBot="1" x14ac:dyDescent="0.25">
      <c r="B17" s="323" t="s">
        <v>446</v>
      </c>
      <c r="C17" s="324" t="s">
        <v>447</v>
      </c>
      <c r="D17" s="325" t="s">
        <v>440</v>
      </c>
      <c r="E17" s="47" t="s">
        <v>137</v>
      </c>
      <c r="F17" s="218"/>
      <c r="G17" s="329">
        <v>1</v>
      </c>
      <c r="H17" s="219" t="s">
        <v>66</v>
      </c>
      <c r="I17" s="218">
        <f>I12*0.302</f>
        <v>508537.8</v>
      </c>
      <c r="J17" s="359" t="s">
        <v>534</v>
      </c>
      <c r="M17" s="21" t="s">
        <v>7</v>
      </c>
      <c r="N17" s="292">
        <v>29000</v>
      </c>
    </row>
    <row r="18" spans="2:17" ht="30" customHeight="1" x14ac:dyDescent="0.2">
      <c r="B18" s="335" t="s">
        <v>448</v>
      </c>
      <c r="C18" s="336"/>
      <c r="D18" s="336"/>
      <c r="E18" s="336"/>
      <c r="F18" s="336"/>
      <c r="G18" s="336"/>
      <c r="H18" s="337"/>
      <c r="I18" s="45">
        <f>I16+I17</f>
        <v>2298379.7999999998</v>
      </c>
      <c r="J18" s="112"/>
      <c r="M18" s="24"/>
      <c r="N18" s="14"/>
    </row>
    <row r="19" spans="2:17" ht="30" customHeight="1" x14ac:dyDescent="0.2">
      <c r="B19" s="332" t="s">
        <v>12</v>
      </c>
      <c r="C19" s="240"/>
      <c r="D19" s="240"/>
      <c r="E19" s="240"/>
      <c r="F19" s="240"/>
      <c r="G19" s="240"/>
      <c r="H19" s="105"/>
      <c r="I19" s="22">
        <f>ROUNDDOWN(F56,-3)-250000+20000-180000</f>
        <v>739000</v>
      </c>
      <c r="J19" s="46" t="s">
        <v>449</v>
      </c>
      <c r="M19" s="15"/>
      <c r="N19" s="48"/>
    </row>
    <row r="20" spans="2:17" ht="30" customHeight="1" x14ac:dyDescent="0.2">
      <c r="B20" s="332" t="s">
        <v>24</v>
      </c>
      <c r="C20" s="240"/>
      <c r="D20" s="240"/>
      <c r="E20" s="240"/>
      <c r="F20" s="240"/>
      <c r="G20" s="240"/>
      <c r="H20" s="105"/>
      <c r="I20" s="299">
        <f>ROUNDDOWN(I18+I19,-4)</f>
        <v>3030000</v>
      </c>
      <c r="J20" s="46" t="s">
        <v>132</v>
      </c>
      <c r="M20" s="287"/>
      <c r="N20" s="339"/>
      <c r="O20" s="340"/>
      <c r="P20" s="15"/>
      <c r="Q20" s="15"/>
    </row>
    <row r="21" spans="2:17" ht="30" customHeight="1" x14ac:dyDescent="0.2">
      <c r="B21" s="332" t="s">
        <v>13</v>
      </c>
      <c r="C21" s="240"/>
      <c r="D21" s="240"/>
      <c r="E21" s="240"/>
      <c r="F21" s="240"/>
      <c r="G21" s="240"/>
      <c r="H21" s="105"/>
      <c r="I21" s="299">
        <f>ROUNDDOWN((I20*0.1),1)</f>
        <v>303000</v>
      </c>
      <c r="J21" s="249">
        <v>0.1</v>
      </c>
      <c r="M21" s="341"/>
      <c r="N21" s="339"/>
      <c r="O21" s="342"/>
      <c r="P21" s="343"/>
      <c r="Q21" s="24"/>
    </row>
    <row r="22" spans="2:17" ht="25.5" customHeight="1" thickBot="1" x14ac:dyDescent="0.25">
      <c r="B22" s="333" t="s">
        <v>20</v>
      </c>
      <c r="C22" s="334"/>
      <c r="D22" s="334"/>
      <c r="E22" s="334"/>
      <c r="F22" s="334"/>
      <c r="G22" s="334"/>
      <c r="H22" s="247"/>
      <c r="I22" s="218">
        <f>SUM(I20:I21)</f>
        <v>3333000</v>
      </c>
      <c r="J22" s="250"/>
      <c r="O22" s="342"/>
      <c r="P22" s="343"/>
      <c r="Q22" s="338"/>
    </row>
    <row r="23" spans="2:17" ht="10" customHeight="1" x14ac:dyDescent="0.2">
      <c r="B23" s="353" t="str">
        <f>"※"&amp;単価!G2&amp;"参照"</f>
        <v>※P120-「令和５年度設計業務委託等技術者単価」抜粋／土木工事単価資料【土木工事編】【業務委託編】令和４年度（３月改訂版）参照</v>
      </c>
    </row>
    <row r="24" spans="2:17" ht="10" customHeight="1" x14ac:dyDescent="0.2">
      <c r="B24" s="354" t="s">
        <v>450</v>
      </c>
      <c r="C24" s="25"/>
    </row>
    <row r="25" spans="2:17" ht="10" customHeight="1" x14ac:dyDescent="0.2">
      <c r="B25" s="353" t="s">
        <v>451</v>
      </c>
      <c r="M25" s="14"/>
    </row>
    <row r="26" spans="2:17" ht="30" customHeight="1" x14ac:dyDescent="0.2">
      <c r="M26" s="14"/>
    </row>
    <row r="27" spans="2:17" ht="33" customHeight="1" x14ac:dyDescent="0.2">
      <c r="B27" s="1" t="s">
        <v>535</v>
      </c>
      <c r="C27" s="1"/>
      <c r="D27" s="2"/>
      <c r="E27" s="1"/>
      <c r="F27" s="13"/>
      <c r="G27" s="2"/>
      <c r="H27" s="1"/>
      <c r="M27" s="14"/>
    </row>
    <row r="28" spans="2:17" ht="15" customHeight="1" thickBot="1" x14ac:dyDescent="0.25">
      <c r="D28" s="14"/>
      <c r="F28" s="15"/>
      <c r="G28" s="14"/>
      <c r="H28" s="16"/>
      <c r="M28" s="14"/>
    </row>
    <row r="29" spans="2:17" ht="30" customHeight="1" x14ac:dyDescent="0.2">
      <c r="B29" s="17" t="s">
        <v>0</v>
      </c>
      <c r="C29" s="344" t="s">
        <v>1</v>
      </c>
      <c r="D29" s="19" t="s">
        <v>2</v>
      </c>
      <c r="E29" s="18" t="s">
        <v>3</v>
      </c>
      <c r="F29" s="18" t="s">
        <v>4</v>
      </c>
      <c r="G29" s="19" t="s">
        <v>5</v>
      </c>
      <c r="H29" s="20" t="s">
        <v>6</v>
      </c>
      <c r="M29" s="14"/>
    </row>
    <row r="30" spans="2:17" ht="30" customHeight="1" x14ac:dyDescent="0.2">
      <c r="B30" s="331"/>
      <c r="C30" s="345" t="s">
        <v>453</v>
      </c>
      <c r="D30" s="308">
        <v>275</v>
      </c>
      <c r="E30" s="108">
        <v>7</v>
      </c>
      <c r="F30" s="109" t="s">
        <v>66</v>
      </c>
      <c r="G30" s="308">
        <f>D30*E30</f>
        <v>1925</v>
      </c>
      <c r="H30" s="346"/>
      <c r="M30" s="14"/>
    </row>
    <row r="31" spans="2:17" ht="30" customHeight="1" x14ac:dyDescent="0.2">
      <c r="B31" s="276" t="s">
        <v>523</v>
      </c>
      <c r="C31" s="345" t="s">
        <v>454</v>
      </c>
      <c r="D31" s="308">
        <f>2090+1997</f>
        <v>4087</v>
      </c>
      <c r="E31" s="108">
        <v>1</v>
      </c>
      <c r="F31" s="109" t="s">
        <v>66</v>
      </c>
      <c r="G31" s="308">
        <f>D31*E31</f>
        <v>4087</v>
      </c>
      <c r="H31" s="346"/>
      <c r="M31" s="14"/>
    </row>
    <row r="32" spans="2:17" ht="30" customHeight="1" x14ac:dyDescent="0.2">
      <c r="B32" s="276"/>
      <c r="C32" s="345" t="s">
        <v>455</v>
      </c>
      <c r="D32" s="308">
        <v>165</v>
      </c>
      <c r="E32" s="108">
        <v>38</v>
      </c>
      <c r="F32" s="109" t="s">
        <v>21</v>
      </c>
      <c r="G32" s="22">
        <f t="shared" ref="G32:G33" si="1">D32*E32</f>
        <v>6270</v>
      </c>
      <c r="H32" s="346"/>
      <c r="M32" s="14"/>
    </row>
    <row r="33" spans="2:13" ht="30" customHeight="1" x14ac:dyDescent="0.2">
      <c r="B33" s="276"/>
      <c r="C33" s="281" t="s">
        <v>93</v>
      </c>
      <c r="D33" s="22">
        <v>220</v>
      </c>
      <c r="E33" s="21">
        <v>38</v>
      </c>
      <c r="F33" s="23" t="s">
        <v>22</v>
      </c>
      <c r="G33" s="22">
        <f t="shared" si="1"/>
        <v>8360</v>
      </c>
      <c r="H33" s="111"/>
      <c r="M33" s="14"/>
    </row>
    <row r="34" spans="2:13" ht="30" customHeight="1" x14ac:dyDescent="0.2">
      <c r="B34" s="276"/>
      <c r="C34" s="281" t="s">
        <v>456</v>
      </c>
      <c r="D34" s="22">
        <v>700</v>
      </c>
      <c r="E34" s="21">
        <v>9</v>
      </c>
      <c r="F34" s="23" t="s">
        <v>78</v>
      </c>
      <c r="G34" s="22">
        <f>D34*E34</f>
        <v>6300</v>
      </c>
      <c r="H34" s="111"/>
      <c r="M34" s="14"/>
    </row>
    <row r="35" spans="2:13" ht="30" customHeight="1" thickBot="1" x14ac:dyDescent="0.25">
      <c r="B35" s="277"/>
      <c r="C35" s="334" t="s">
        <v>457</v>
      </c>
      <c r="D35" s="218"/>
      <c r="E35" s="47"/>
      <c r="F35" s="219"/>
      <c r="G35" s="218">
        <f>SUM(G30:G34)</f>
        <v>26942</v>
      </c>
      <c r="H35" s="250"/>
      <c r="M35" s="14"/>
    </row>
    <row r="36" spans="2:13" ht="14.25" customHeight="1" x14ac:dyDescent="0.2">
      <c r="B36" s="355" t="s">
        <v>458</v>
      </c>
      <c r="D36" s="14"/>
      <c r="F36" s="15"/>
      <c r="H36" s="13"/>
      <c r="M36" s="14"/>
    </row>
    <row r="37" spans="2:13" ht="30" customHeight="1" x14ac:dyDescent="0.2">
      <c r="D37" s="14"/>
      <c r="F37" s="15"/>
      <c r="H37" s="13"/>
      <c r="M37" s="14"/>
    </row>
    <row r="38" spans="2:13" ht="15" customHeight="1" x14ac:dyDescent="0.2">
      <c r="B38" s="1" t="s">
        <v>536</v>
      </c>
      <c r="C38" s="1"/>
      <c r="D38" s="2"/>
      <c r="E38" s="1"/>
      <c r="F38" s="13"/>
      <c r="G38" s="2"/>
      <c r="H38" s="1"/>
      <c r="M38" s="14"/>
    </row>
    <row r="39" spans="2:13" ht="30" customHeight="1" thickBot="1" x14ac:dyDescent="0.25">
      <c r="D39" s="14"/>
      <c r="F39" s="15"/>
      <c r="G39" s="14"/>
      <c r="H39" s="16"/>
      <c r="M39" s="14"/>
    </row>
    <row r="40" spans="2:13" ht="30" customHeight="1" x14ac:dyDescent="0.2">
      <c r="B40" s="17" t="s">
        <v>0</v>
      </c>
      <c r="C40" s="344" t="s">
        <v>1</v>
      </c>
      <c r="D40" s="19" t="s">
        <v>2</v>
      </c>
      <c r="E40" s="18" t="s">
        <v>3</v>
      </c>
      <c r="F40" s="18" t="s">
        <v>4</v>
      </c>
      <c r="G40" s="19" t="s">
        <v>5</v>
      </c>
      <c r="H40" s="20" t="s">
        <v>6</v>
      </c>
      <c r="M40" s="14"/>
    </row>
    <row r="41" spans="2:13" ht="30" customHeight="1" x14ac:dyDescent="0.2">
      <c r="B41" s="475" t="s">
        <v>447</v>
      </c>
      <c r="C41" s="330" t="s">
        <v>459</v>
      </c>
      <c r="D41" s="299">
        <v>772</v>
      </c>
      <c r="E41" s="300">
        <v>43</v>
      </c>
      <c r="F41" s="91" t="s">
        <v>460</v>
      </c>
      <c r="G41" s="299">
        <f t="shared" ref="G41:G46" si="2">D41*E41</f>
        <v>33196</v>
      </c>
      <c r="H41" s="70"/>
      <c r="M41" s="14"/>
    </row>
    <row r="42" spans="2:13" ht="70" customHeight="1" x14ac:dyDescent="0.2">
      <c r="B42" s="475"/>
      <c r="C42" s="330" t="s">
        <v>85</v>
      </c>
      <c r="D42" s="299">
        <v>6736</v>
      </c>
      <c r="E42" s="300">
        <v>38</v>
      </c>
      <c r="F42" s="91" t="s">
        <v>460</v>
      </c>
      <c r="G42" s="299">
        <f t="shared" si="2"/>
        <v>255968</v>
      </c>
      <c r="H42" s="70"/>
      <c r="M42" s="14"/>
    </row>
    <row r="43" spans="2:13" ht="70" customHeight="1" x14ac:dyDescent="0.2">
      <c r="B43" s="475"/>
      <c r="C43" s="330" t="s">
        <v>461</v>
      </c>
      <c r="D43" s="299">
        <f>3130/1.1</f>
        <v>2845.454545454545</v>
      </c>
      <c r="E43" s="300">
        <v>10</v>
      </c>
      <c r="F43" s="91" t="s">
        <v>22</v>
      </c>
      <c r="G43" s="299">
        <f t="shared" si="2"/>
        <v>28454.545454545449</v>
      </c>
      <c r="H43" s="70" t="s">
        <v>462</v>
      </c>
      <c r="M43" s="14"/>
    </row>
    <row r="44" spans="2:13" ht="80.150000000000006" customHeight="1" x14ac:dyDescent="0.2">
      <c r="B44" s="475"/>
      <c r="C44" s="303" t="s">
        <v>463</v>
      </c>
      <c r="D44" s="299">
        <f>820/1.1</f>
        <v>745.45454545454538</v>
      </c>
      <c r="E44" s="300">
        <v>8</v>
      </c>
      <c r="F44" s="91" t="s">
        <v>22</v>
      </c>
      <c r="G44" s="299">
        <f t="shared" si="2"/>
        <v>5963.6363636363631</v>
      </c>
      <c r="H44" s="70" t="s">
        <v>464</v>
      </c>
      <c r="M44" s="14"/>
    </row>
    <row r="45" spans="2:13" ht="80.150000000000006" customHeight="1" x14ac:dyDescent="0.2">
      <c r="B45" s="475"/>
      <c r="C45" s="477" t="s">
        <v>79</v>
      </c>
      <c r="D45" s="299">
        <f>単価!E6</f>
        <v>150</v>
      </c>
      <c r="E45" s="300">
        <v>36</v>
      </c>
      <c r="F45" s="91" t="s">
        <v>465</v>
      </c>
      <c r="G45" s="299">
        <f t="shared" si="2"/>
        <v>5400</v>
      </c>
      <c r="H45" s="70" t="s">
        <v>466</v>
      </c>
      <c r="M45" s="14"/>
    </row>
    <row r="46" spans="2:13" ht="81" customHeight="1" x14ac:dyDescent="0.2">
      <c r="B46" s="475"/>
      <c r="C46" s="478"/>
      <c r="D46" s="299">
        <f>単価!E6</f>
        <v>150</v>
      </c>
      <c r="E46" s="300">
        <v>133</v>
      </c>
      <c r="F46" s="91" t="s">
        <v>465</v>
      </c>
      <c r="G46" s="299">
        <f t="shared" si="2"/>
        <v>19950</v>
      </c>
      <c r="H46" s="70" t="s">
        <v>540</v>
      </c>
    </row>
    <row r="47" spans="2:13" ht="30" customHeight="1" x14ac:dyDescent="0.2">
      <c r="B47" s="475"/>
      <c r="C47" s="330" t="s">
        <v>467</v>
      </c>
      <c r="D47" s="299">
        <f>195*8+1010+900</f>
        <v>3470</v>
      </c>
      <c r="E47" s="300">
        <v>43</v>
      </c>
      <c r="F47" s="91" t="s">
        <v>76</v>
      </c>
      <c r="G47" s="299">
        <f t="shared" ref="G47:G48" si="3">D47*E47</f>
        <v>149210</v>
      </c>
      <c r="H47" s="70"/>
    </row>
    <row r="48" spans="2:13" ht="30" customHeight="1" x14ac:dyDescent="0.2">
      <c r="B48" s="475"/>
      <c r="C48" s="304" t="s">
        <v>468</v>
      </c>
      <c r="D48" s="301">
        <f>8000+2396</f>
        <v>10396</v>
      </c>
      <c r="E48" s="302">
        <v>1</v>
      </c>
      <c r="F48" s="307" t="s">
        <v>66</v>
      </c>
      <c r="G48" s="301">
        <f t="shared" si="3"/>
        <v>10396</v>
      </c>
      <c r="H48" s="347"/>
    </row>
    <row r="49" spans="2:14" ht="30" customHeight="1" thickBot="1" x14ac:dyDescent="0.25">
      <c r="B49" s="476"/>
      <c r="C49" s="334" t="s">
        <v>457</v>
      </c>
      <c r="D49" s="218"/>
      <c r="E49" s="47"/>
      <c r="F49" s="305"/>
      <c r="G49" s="218">
        <f>SUM(G41:G48)</f>
        <v>508538.18181818182</v>
      </c>
      <c r="H49" s="250"/>
    </row>
    <row r="50" spans="2:14" x14ac:dyDescent="0.2">
      <c r="B50" s="13" t="str">
        <f>"※"&amp;単価!G6&amp;"参照"</f>
        <v>※P20-「ガソリン（委託用）レギュラー／3-1 03)燃料類」抜粋／土木工事単価資料【土木工事編】【業務委託編】令和４年度（３月改訂版）参照</v>
      </c>
    </row>
    <row r="51" spans="2:14" ht="30" customHeight="1" x14ac:dyDescent="0.2">
      <c r="D51" s="13" t="s">
        <v>14</v>
      </c>
      <c r="E51" s="348" t="str">
        <f>IF(I19&lt;E56,"○")</f>
        <v>○</v>
      </c>
    </row>
    <row r="52" spans="2:14" ht="30" customHeight="1" x14ac:dyDescent="0.2">
      <c r="B52" s="16" t="s">
        <v>31</v>
      </c>
      <c r="C52" s="16"/>
      <c r="D52" s="13" t="s">
        <v>15</v>
      </c>
      <c r="E52" s="215">
        <f>ROUND(E54*E53^E55,1)</f>
        <v>54.5</v>
      </c>
      <c r="F52" s="278" t="s">
        <v>452</v>
      </c>
      <c r="G52" s="279">
        <v>50</v>
      </c>
    </row>
    <row r="53" spans="2:14" ht="30" customHeight="1" x14ac:dyDescent="0.2">
      <c r="B53" s="16" t="s">
        <v>16</v>
      </c>
      <c r="C53" s="16"/>
      <c r="D53" s="13" t="s">
        <v>17</v>
      </c>
      <c r="E53" s="348">
        <f>I18</f>
        <v>2298379.7999999998</v>
      </c>
      <c r="F53" s="13"/>
      <c r="N53" s="14"/>
    </row>
    <row r="54" spans="2:14" ht="30" customHeight="1" x14ac:dyDescent="0.2">
      <c r="D54" s="13" t="s">
        <v>32</v>
      </c>
      <c r="E54" s="349">
        <v>285.3</v>
      </c>
      <c r="F54" s="13"/>
    </row>
    <row r="55" spans="2:14" ht="30" customHeight="1" x14ac:dyDescent="0.2">
      <c r="D55" s="13" t="s">
        <v>33</v>
      </c>
      <c r="E55" s="350">
        <v>-0.113</v>
      </c>
      <c r="F55" s="13"/>
    </row>
    <row r="56" spans="2:14" ht="30" customHeight="1" x14ac:dyDescent="0.2">
      <c r="D56" s="13" t="s">
        <v>18</v>
      </c>
      <c r="E56" s="348">
        <f>E53*(E52/100)</f>
        <v>1252616.9909999999</v>
      </c>
      <c r="F56" s="348">
        <f>E53*(G52/100)</f>
        <v>1149189.8999999999</v>
      </c>
    </row>
    <row r="57" spans="2:14" ht="30" customHeight="1" x14ac:dyDescent="0.2">
      <c r="B57" s="14"/>
      <c r="C57" s="14"/>
      <c r="E57" s="349"/>
      <c r="F57" s="13"/>
    </row>
    <row r="58" spans="2:14" ht="30" customHeight="1" x14ac:dyDescent="0.2"/>
    <row r="59" spans="2:14" ht="30" customHeight="1" x14ac:dyDescent="0.2"/>
    <row r="60" spans="2:14" ht="30" customHeight="1" x14ac:dyDescent="0.2"/>
    <row r="61" spans="2:14" ht="30" customHeight="1" x14ac:dyDescent="0.2"/>
  </sheetData>
  <mergeCells count="13">
    <mergeCell ref="M13:N13"/>
    <mergeCell ref="C15:F15"/>
    <mergeCell ref="B41:B49"/>
    <mergeCell ref="C45:C46"/>
    <mergeCell ref="B2:J2"/>
    <mergeCell ref="C5:C11"/>
    <mergeCell ref="D5:D7"/>
    <mergeCell ref="J5:J7"/>
    <mergeCell ref="D8:D11"/>
    <mergeCell ref="J8:J11"/>
    <mergeCell ref="C12:F12"/>
    <mergeCell ref="B5:B16"/>
    <mergeCell ref="C16:H16"/>
  </mergeCells>
  <phoneticPr fontId="7"/>
  <pageMargins left="0.23622047244094491" right="0" top="0.74803149606299213" bottom="0.74803149606299213" header="0.31496062992125984" footer="0.31496062992125984"/>
  <pageSetup paperSize="9" scale="58" fitToWidth="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B1:M46"/>
  <sheetViews>
    <sheetView workbookViewId="0"/>
  </sheetViews>
  <sheetFormatPr defaultColWidth="9" defaultRowHeight="13" x14ac:dyDescent="0.2"/>
  <cols>
    <col min="1" max="1" width="1.6328125" customWidth="1"/>
    <col min="2" max="2" width="12" customWidth="1"/>
    <col min="3" max="3" width="17.36328125" customWidth="1"/>
    <col min="4" max="4" width="22.90625" customWidth="1"/>
    <col min="5" max="5" width="11" style="4" bestFit="1" customWidth="1"/>
    <col min="6" max="6" width="5.90625" customWidth="1"/>
    <col min="7" max="7" width="6.08984375" style="5" customWidth="1"/>
    <col min="8" max="8" width="12.453125" style="4" bestFit="1" customWidth="1"/>
    <col min="9" max="9" width="60.36328125" customWidth="1"/>
    <col min="10" max="10" width="3.36328125" bestFit="1" customWidth="1"/>
    <col min="11" max="11" width="18.36328125" customWidth="1"/>
    <col min="12" max="12" width="10.90625" customWidth="1"/>
    <col min="13" max="13" width="9.90625" bestFit="1" customWidth="1"/>
  </cols>
  <sheetData>
    <row r="1" spans="2:12" s="1" customFormat="1" ht="25.5" customHeight="1" x14ac:dyDescent="0.2">
      <c r="B1" s="260" t="s">
        <v>72</v>
      </c>
      <c r="E1" s="2"/>
      <c r="G1" s="13"/>
      <c r="H1" s="2"/>
    </row>
    <row r="2" spans="2:12" ht="13.5" thickBot="1" x14ac:dyDescent="0.25">
      <c r="I2" s="9"/>
    </row>
    <row r="3" spans="2:12" s="5" customFormat="1" ht="23.25" customHeight="1" thickBot="1" x14ac:dyDescent="0.25">
      <c r="B3" s="261" t="s">
        <v>0</v>
      </c>
      <c r="C3" s="262" t="s">
        <v>36</v>
      </c>
      <c r="D3" s="262" t="s">
        <v>1</v>
      </c>
      <c r="E3" s="263" t="s">
        <v>2</v>
      </c>
      <c r="F3" s="262" t="s">
        <v>3</v>
      </c>
      <c r="G3" s="262" t="s">
        <v>4</v>
      </c>
      <c r="H3" s="263" t="s">
        <v>5</v>
      </c>
      <c r="I3" s="264" t="s">
        <v>6</v>
      </c>
    </row>
    <row r="4" spans="2:12" s="5" customFormat="1" ht="30" customHeight="1" x14ac:dyDescent="0.2">
      <c r="B4" s="497" t="s">
        <v>492</v>
      </c>
      <c r="C4" s="499" t="s">
        <v>83</v>
      </c>
      <c r="D4" s="119" t="s">
        <v>8</v>
      </c>
      <c r="E4" s="118">
        <f>単価!E2</f>
        <v>55200</v>
      </c>
      <c r="F4" s="314">
        <v>2</v>
      </c>
      <c r="G4" s="117" t="s">
        <v>11</v>
      </c>
      <c r="H4" s="309">
        <f t="shared" ref="H4:H13" si="0">+E4*F4</f>
        <v>110400</v>
      </c>
      <c r="I4" s="504" t="s">
        <v>176</v>
      </c>
      <c r="K4" s="265">
        <f>ROUNDDOWN(SUM(H4:H15),-3)</f>
        <v>2490000</v>
      </c>
    </row>
    <row r="5" spans="2:12" s="5" customFormat="1" ht="30" customHeight="1" x14ac:dyDescent="0.2">
      <c r="B5" s="490"/>
      <c r="C5" s="478"/>
      <c r="D5" s="21" t="s">
        <v>9</v>
      </c>
      <c r="E5" s="22">
        <f>単価!E4</f>
        <v>35600</v>
      </c>
      <c r="F5" s="300">
        <v>1</v>
      </c>
      <c r="G5" s="23" t="s">
        <v>11</v>
      </c>
      <c r="H5" s="299">
        <f t="shared" si="0"/>
        <v>35600</v>
      </c>
      <c r="I5" s="484"/>
      <c r="K5" s="265"/>
    </row>
    <row r="6" spans="2:12" s="5" customFormat="1" ht="30" customHeight="1" x14ac:dyDescent="0.2">
      <c r="B6" s="490"/>
      <c r="C6" s="500" t="s">
        <v>81</v>
      </c>
      <c r="D6" s="21" t="s">
        <v>8</v>
      </c>
      <c r="E6" s="22">
        <f>単価!E2</f>
        <v>55200</v>
      </c>
      <c r="F6" s="300">
        <v>2</v>
      </c>
      <c r="G6" s="23" t="s">
        <v>11</v>
      </c>
      <c r="H6" s="299">
        <f>+E6*F6</f>
        <v>110400</v>
      </c>
      <c r="I6" s="482" t="s">
        <v>537</v>
      </c>
      <c r="K6" s="265"/>
    </row>
    <row r="7" spans="2:12" ht="30" customHeight="1" x14ac:dyDescent="0.2">
      <c r="B7" s="498"/>
      <c r="C7" s="501"/>
      <c r="D7" s="21" t="s">
        <v>73</v>
      </c>
      <c r="E7" s="22">
        <f>単価!E3</f>
        <v>45300</v>
      </c>
      <c r="F7" s="315">
        <v>5</v>
      </c>
      <c r="G7" s="23" t="s">
        <v>11</v>
      </c>
      <c r="H7" s="299">
        <f>+E7*F7</f>
        <v>226500</v>
      </c>
      <c r="I7" s="483"/>
      <c r="K7" s="67" t="s">
        <v>8</v>
      </c>
      <c r="L7" s="78">
        <f>単価!E2</f>
        <v>55200</v>
      </c>
    </row>
    <row r="8" spans="2:12" ht="30" customHeight="1" x14ac:dyDescent="0.2">
      <c r="B8" s="498"/>
      <c r="C8" s="501"/>
      <c r="D8" s="21" t="s">
        <v>9</v>
      </c>
      <c r="E8" s="22">
        <f>単価!E4</f>
        <v>35600</v>
      </c>
      <c r="F8" s="315">
        <v>6</v>
      </c>
      <c r="G8" s="23" t="s">
        <v>11</v>
      </c>
      <c r="H8" s="299">
        <f>+E8*F8</f>
        <v>213600</v>
      </c>
      <c r="I8" s="483"/>
      <c r="K8" s="67" t="s">
        <v>146</v>
      </c>
      <c r="L8" s="78">
        <f>単価!E3</f>
        <v>45300</v>
      </c>
    </row>
    <row r="9" spans="2:12" ht="30" customHeight="1" x14ac:dyDescent="0.2">
      <c r="B9" s="498"/>
      <c r="C9" s="502"/>
      <c r="D9" s="44" t="s">
        <v>7</v>
      </c>
      <c r="E9" s="22">
        <f>単価!E5</f>
        <v>31600</v>
      </c>
      <c r="F9" s="316">
        <v>16</v>
      </c>
      <c r="G9" s="23" t="s">
        <v>11</v>
      </c>
      <c r="H9" s="299">
        <f>+E9*F9</f>
        <v>505600</v>
      </c>
      <c r="I9" s="484"/>
      <c r="K9" s="67" t="s">
        <v>9</v>
      </c>
      <c r="L9" s="78">
        <f>単価!E4</f>
        <v>35600</v>
      </c>
    </row>
    <row r="10" spans="2:12" ht="30" customHeight="1" x14ac:dyDescent="0.2">
      <c r="B10" s="498"/>
      <c r="C10" s="495" t="s">
        <v>107</v>
      </c>
      <c r="D10" s="21" t="s">
        <v>73</v>
      </c>
      <c r="E10" s="22">
        <f>単価!E3</f>
        <v>45300</v>
      </c>
      <c r="F10" s="21">
        <v>5</v>
      </c>
      <c r="G10" s="23" t="s">
        <v>11</v>
      </c>
      <c r="H10" s="299">
        <f>+E10*F10</f>
        <v>226500</v>
      </c>
      <c r="I10" s="493" t="s">
        <v>177</v>
      </c>
      <c r="K10" s="67" t="s">
        <v>7</v>
      </c>
      <c r="L10" s="67">
        <f>単価!E5</f>
        <v>31600</v>
      </c>
    </row>
    <row r="11" spans="2:12" ht="30" customHeight="1" x14ac:dyDescent="0.2">
      <c r="B11" s="498"/>
      <c r="C11" s="496"/>
      <c r="D11" s="44" t="s">
        <v>9</v>
      </c>
      <c r="E11" s="22">
        <f>単価!E4</f>
        <v>35600</v>
      </c>
      <c r="F11" s="21">
        <v>5</v>
      </c>
      <c r="G11" s="23" t="s">
        <v>11</v>
      </c>
      <c r="H11" s="299">
        <f t="shared" si="0"/>
        <v>178000</v>
      </c>
      <c r="I11" s="494"/>
      <c r="K11" s="67" t="s">
        <v>58</v>
      </c>
      <c r="L11" s="67">
        <f>単価!E6</f>
        <v>150</v>
      </c>
    </row>
    <row r="12" spans="2:12" ht="29.25" customHeight="1" x14ac:dyDescent="0.2">
      <c r="B12" s="498"/>
      <c r="C12" s="495" t="s">
        <v>82</v>
      </c>
      <c r="D12" s="21" t="s">
        <v>8</v>
      </c>
      <c r="E12" s="22">
        <f>単価!E2</f>
        <v>55200</v>
      </c>
      <c r="F12" s="316">
        <v>8</v>
      </c>
      <c r="G12" s="23" t="s">
        <v>11</v>
      </c>
      <c r="H12" s="299">
        <f>+E12*F12</f>
        <v>441600</v>
      </c>
      <c r="I12" s="493" t="s">
        <v>182</v>
      </c>
    </row>
    <row r="13" spans="2:12" ht="29.25" customHeight="1" x14ac:dyDescent="0.2">
      <c r="B13" s="498"/>
      <c r="C13" s="495"/>
      <c r="D13" s="21" t="s">
        <v>73</v>
      </c>
      <c r="E13" s="22">
        <f>単価!E3</f>
        <v>45300</v>
      </c>
      <c r="F13" s="316">
        <v>6</v>
      </c>
      <c r="G13" s="23" t="s">
        <v>11</v>
      </c>
      <c r="H13" s="299">
        <f t="shared" si="0"/>
        <v>271800</v>
      </c>
      <c r="I13" s="493"/>
    </row>
    <row r="14" spans="2:12" ht="29.25" customHeight="1" x14ac:dyDescent="0.2">
      <c r="B14" s="498"/>
      <c r="C14" s="495"/>
      <c r="D14" s="108" t="s">
        <v>9</v>
      </c>
      <c r="E14" s="308">
        <f>単価!E4</f>
        <v>35600</v>
      </c>
      <c r="F14" s="317">
        <v>4</v>
      </c>
      <c r="G14" s="109" t="s">
        <v>11</v>
      </c>
      <c r="H14" s="310">
        <f>+E14*F14</f>
        <v>142400</v>
      </c>
      <c r="I14" s="494"/>
    </row>
    <row r="15" spans="2:12" ht="29.25" customHeight="1" x14ac:dyDescent="0.2">
      <c r="B15" s="508" t="s">
        <v>96</v>
      </c>
      <c r="C15" s="500" t="s">
        <v>80</v>
      </c>
      <c r="D15" s="221" t="s">
        <v>89</v>
      </c>
      <c r="E15" s="299">
        <v>356</v>
      </c>
      <c r="F15" s="300">
        <v>80</v>
      </c>
      <c r="G15" s="23" t="s">
        <v>95</v>
      </c>
      <c r="H15" s="299">
        <f>+E15*F15</f>
        <v>28480</v>
      </c>
      <c r="I15" s="266"/>
    </row>
    <row r="16" spans="2:12" s="13" customFormat="1" ht="29.25" customHeight="1" x14ac:dyDescent="0.2">
      <c r="B16" s="509"/>
      <c r="C16" s="501"/>
      <c r="D16" s="21" t="s">
        <v>90</v>
      </c>
      <c r="E16" s="299">
        <v>500</v>
      </c>
      <c r="F16" s="300">
        <v>20</v>
      </c>
      <c r="G16" s="23" t="s">
        <v>22</v>
      </c>
      <c r="H16" s="299">
        <f t="shared" ref="H16" si="1">+E16*F16</f>
        <v>10000</v>
      </c>
      <c r="I16" s="50"/>
      <c r="K16"/>
      <c r="L16"/>
    </row>
    <row r="17" spans="2:13" s="13" customFormat="1" ht="29.25" customHeight="1" x14ac:dyDescent="0.2">
      <c r="B17" s="509"/>
      <c r="C17" s="501"/>
      <c r="D17" s="21" t="s">
        <v>91</v>
      </c>
      <c r="E17" s="299">
        <v>3600</v>
      </c>
      <c r="F17" s="300">
        <v>25</v>
      </c>
      <c r="G17" s="23" t="s">
        <v>95</v>
      </c>
      <c r="H17" s="299">
        <f>+E17*F17</f>
        <v>90000</v>
      </c>
      <c r="I17" s="111" t="s">
        <v>181</v>
      </c>
      <c r="K17"/>
      <c r="L17"/>
    </row>
    <row r="18" spans="2:13" s="13" customFormat="1" ht="29.25" customHeight="1" x14ac:dyDescent="0.2">
      <c r="B18" s="509"/>
      <c r="C18" s="501"/>
      <c r="D18" s="91" t="s">
        <v>92</v>
      </c>
      <c r="E18" s="299">
        <v>180</v>
      </c>
      <c r="F18" s="300">
        <v>1920</v>
      </c>
      <c r="G18" s="23" t="s">
        <v>76</v>
      </c>
      <c r="H18" s="299">
        <f>+E18*F18</f>
        <v>345600</v>
      </c>
      <c r="I18" s="70" t="s">
        <v>178</v>
      </c>
      <c r="K18"/>
      <c r="L18"/>
    </row>
    <row r="19" spans="2:13" s="13" customFormat="1" ht="29.25" customHeight="1" x14ac:dyDescent="0.2">
      <c r="B19" s="509"/>
      <c r="C19" s="501"/>
      <c r="D19" s="21" t="s">
        <v>93</v>
      </c>
      <c r="E19" s="299">
        <v>400</v>
      </c>
      <c r="F19" s="300">
        <v>25</v>
      </c>
      <c r="G19" s="23" t="s">
        <v>87</v>
      </c>
      <c r="H19" s="299">
        <f>+E19*F19</f>
        <v>10000</v>
      </c>
      <c r="I19" s="111" t="s">
        <v>181</v>
      </c>
      <c r="K19" s="14"/>
    </row>
    <row r="20" spans="2:13" s="13" customFormat="1" ht="29.25" customHeight="1" x14ac:dyDescent="0.2">
      <c r="B20" s="509"/>
      <c r="C20" s="502"/>
      <c r="D20" s="21" t="s">
        <v>94</v>
      </c>
      <c r="E20" s="299">
        <v>300</v>
      </c>
      <c r="F20" s="300">
        <v>25</v>
      </c>
      <c r="G20" s="23" t="s">
        <v>88</v>
      </c>
      <c r="H20" s="299">
        <f>+E20*F20</f>
        <v>7500</v>
      </c>
      <c r="I20" s="111" t="s">
        <v>181</v>
      </c>
    </row>
    <row r="21" spans="2:13" ht="29.25" customHeight="1" thickBot="1" x14ac:dyDescent="0.25">
      <c r="B21" s="267" t="s">
        <v>71</v>
      </c>
      <c r="C21" s="268" t="s">
        <v>74</v>
      </c>
      <c r="D21" s="47" t="s">
        <v>99</v>
      </c>
      <c r="E21" s="306">
        <v>1000</v>
      </c>
      <c r="F21" s="47">
        <v>1</v>
      </c>
      <c r="G21" s="219" t="s">
        <v>66</v>
      </c>
      <c r="H21" s="306">
        <f>PRODUCT(E21:F21)</f>
        <v>1000</v>
      </c>
      <c r="I21" s="360" t="str">
        <f>"本来の雑費等単価計算式"&amp;4.7*ROUNDDOWN(SUM(H4:H20),-3)^0.38&amp;"4.7×直接調査費（直接経費除く。千円未満切り捨て）＾0.38
千円未満切り捨て"</f>
        <v>本来の雑費等単価計算式1351.443730219354.7×直接調査費（直接経費除く。千円未満切り捨て）＾0.38
千円未満切り捨て</v>
      </c>
    </row>
    <row r="22" spans="2:13" ht="30" customHeight="1" thickBot="1" x14ac:dyDescent="0.25">
      <c r="B22" s="509" t="s">
        <v>97</v>
      </c>
      <c r="C22" s="510"/>
      <c r="D22" s="510"/>
      <c r="E22" s="510"/>
      <c r="F22" s="510"/>
      <c r="G22" s="511"/>
      <c r="H22" s="311">
        <f>SUM(H4:H21)</f>
        <v>2954980</v>
      </c>
      <c r="I22" s="320"/>
    </row>
    <row r="23" spans="2:13" ht="30" customHeight="1" x14ac:dyDescent="0.2">
      <c r="B23" s="512" t="s">
        <v>100</v>
      </c>
      <c r="C23" s="514" t="s">
        <v>84</v>
      </c>
      <c r="D23" s="269" t="s">
        <v>85</v>
      </c>
      <c r="E23" s="45">
        <v>7200</v>
      </c>
      <c r="F23" s="270">
        <v>8</v>
      </c>
      <c r="G23" s="18" t="s">
        <v>11</v>
      </c>
      <c r="H23" s="312">
        <f>+E23*F23</f>
        <v>57600</v>
      </c>
      <c r="I23" s="271" t="s">
        <v>101</v>
      </c>
      <c r="K23" s="491" t="s">
        <v>38</v>
      </c>
      <c r="L23" s="492"/>
    </row>
    <row r="24" spans="2:13" s="13" customFormat="1" ht="30" customHeight="1" x14ac:dyDescent="0.2">
      <c r="B24" s="489"/>
      <c r="C24" s="501"/>
      <c r="D24" s="21" t="s">
        <v>77</v>
      </c>
      <c r="E24" s="22">
        <f>単価!E20</f>
        <v>2790</v>
      </c>
      <c r="F24" s="21">
        <v>6</v>
      </c>
      <c r="G24" s="23" t="s">
        <v>78</v>
      </c>
      <c r="H24" s="299">
        <f>+E24*F24*2</f>
        <v>33480</v>
      </c>
      <c r="I24" s="50" t="s">
        <v>517</v>
      </c>
      <c r="K24" s="21" t="s">
        <v>128</v>
      </c>
      <c r="L24" s="22">
        <f>SUM(H4:H9)+SUM(H15:H20)+H27</f>
        <v>1946760</v>
      </c>
    </row>
    <row r="25" spans="2:13" s="13" customFormat="1" ht="30" customHeight="1" x14ac:dyDescent="0.2">
      <c r="B25" s="489"/>
      <c r="C25" s="501"/>
      <c r="D25" s="91" t="s">
        <v>79</v>
      </c>
      <c r="E25" s="22">
        <f>単価!E6</f>
        <v>150</v>
      </c>
      <c r="F25" s="21">
        <v>300</v>
      </c>
      <c r="G25" s="23" t="s">
        <v>106</v>
      </c>
      <c r="H25" s="299">
        <f>+E25*F25</f>
        <v>45000</v>
      </c>
      <c r="I25" s="70" t="s">
        <v>179</v>
      </c>
      <c r="K25" s="21" t="s">
        <v>129</v>
      </c>
      <c r="L25" s="22">
        <f>SUM(H10:H11)</f>
        <v>404500</v>
      </c>
    </row>
    <row r="26" spans="2:13" s="13" customFormat="1" ht="30" customHeight="1" thickBot="1" x14ac:dyDescent="0.25">
      <c r="B26" s="513"/>
      <c r="C26" s="515"/>
      <c r="D26" s="47" t="s">
        <v>86</v>
      </c>
      <c r="E26" s="218">
        <v>7800</v>
      </c>
      <c r="F26" s="47">
        <v>15</v>
      </c>
      <c r="G26" s="219" t="s">
        <v>87</v>
      </c>
      <c r="H26" s="306">
        <f>+E26*F26</f>
        <v>117000</v>
      </c>
      <c r="I26" s="250" t="s">
        <v>180</v>
      </c>
      <c r="K26" s="21" t="s">
        <v>130</v>
      </c>
      <c r="L26" s="22">
        <f>SUM(H12:H14)+H21</f>
        <v>856800</v>
      </c>
      <c r="M26" s="14">
        <f>SUM(L24:L27)</f>
        <v>4462060</v>
      </c>
    </row>
    <row r="27" spans="2:13" s="13" customFormat="1" ht="30" customHeight="1" thickBot="1" x14ac:dyDescent="0.25">
      <c r="B27" s="516" t="s">
        <v>98</v>
      </c>
      <c r="C27" s="517"/>
      <c r="D27" s="517"/>
      <c r="E27" s="517"/>
      <c r="F27" s="517"/>
      <c r="G27" s="518"/>
      <c r="H27" s="313">
        <f>SUM(H23:H26)</f>
        <v>253080</v>
      </c>
      <c r="I27" s="272"/>
      <c r="K27" s="21" t="s">
        <v>134</v>
      </c>
      <c r="L27" s="22">
        <f>H29</f>
        <v>1254000</v>
      </c>
    </row>
    <row r="28" spans="2:13" ht="30" customHeight="1" x14ac:dyDescent="0.2">
      <c r="B28" s="519" t="s">
        <v>102</v>
      </c>
      <c r="C28" s="520"/>
      <c r="D28" s="520"/>
      <c r="E28" s="520"/>
      <c r="F28" s="520"/>
      <c r="G28" s="521"/>
      <c r="H28" s="310">
        <f>H22+H27</f>
        <v>3208060</v>
      </c>
      <c r="I28" s="318"/>
      <c r="K28" s="21" t="s">
        <v>135</v>
      </c>
      <c r="L28" s="22">
        <f>H30</f>
        <v>4460000</v>
      </c>
    </row>
    <row r="29" spans="2:13" ht="23.25" customHeight="1" x14ac:dyDescent="0.2">
      <c r="B29" s="503" t="s">
        <v>12</v>
      </c>
      <c r="C29" s="486"/>
      <c r="D29" s="486"/>
      <c r="E29" s="486"/>
      <c r="F29" s="486"/>
      <c r="G29" s="487"/>
      <c r="H29" s="299">
        <f>ROUNDDOWN(H28/2,-3)-250000-100000</f>
        <v>1254000</v>
      </c>
      <c r="I29" s="319" t="s">
        <v>168</v>
      </c>
      <c r="K29" s="21" t="s">
        <v>136</v>
      </c>
      <c r="L29" s="22">
        <f>H31</f>
        <v>446000</v>
      </c>
    </row>
    <row r="30" spans="2:13" ht="23.25" customHeight="1" x14ac:dyDescent="0.2">
      <c r="B30" s="503" t="s">
        <v>24</v>
      </c>
      <c r="C30" s="486"/>
      <c r="D30" s="486"/>
      <c r="E30" s="486"/>
      <c r="F30" s="486"/>
      <c r="G30" s="487"/>
      <c r="H30" s="299">
        <f>ROUNDDOWN(H28+H29,-4)</f>
        <v>4460000</v>
      </c>
      <c r="I30" s="46" t="s">
        <v>132</v>
      </c>
      <c r="K30" s="21" t="s">
        <v>133</v>
      </c>
      <c r="L30" s="22">
        <f>H32</f>
        <v>4906000</v>
      </c>
    </row>
    <row r="31" spans="2:13" ht="23.25" customHeight="1" x14ac:dyDescent="0.2">
      <c r="B31" s="503" t="s">
        <v>13</v>
      </c>
      <c r="C31" s="486"/>
      <c r="D31" s="486"/>
      <c r="E31" s="486"/>
      <c r="F31" s="486"/>
      <c r="G31" s="487"/>
      <c r="H31" s="299">
        <f>H30*0.1</f>
        <v>446000</v>
      </c>
      <c r="I31" s="249"/>
    </row>
    <row r="32" spans="2:13" ht="23.25" customHeight="1" thickBot="1" x14ac:dyDescent="0.25">
      <c r="B32" s="505" t="s">
        <v>20</v>
      </c>
      <c r="C32" s="506"/>
      <c r="D32" s="506"/>
      <c r="E32" s="506"/>
      <c r="F32" s="506"/>
      <c r="G32" s="507"/>
      <c r="H32" s="306">
        <f>H30+H31</f>
        <v>4906000</v>
      </c>
      <c r="I32" s="273"/>
    </row>
    <row r="33" spans="2:8" ht="23.25" customHeight="1" x14ac:dyDescent="0.2">
      <c r="B33" s="238" t="str">
        <f>"※"&amp;単価!G2&amp;"参照"</f>
        <v>※P120-「令和５年度設計業務委託等技術者単価」抜粋／土木工事単価資料【土木工事編】【業務委託編】令和４年度（３月改訂版）参照</v>
      </c>
    </row>
    <row r="34" spans="2:8" x14ac:dyDescent="0.2">
      <c r="B34" s="274"/>
    </row>
    <row r="39" spans="2:8" x14ac:dyDescent="0.2">
      <c r="B39" t="s">
        <v>12</v>
      </c>
    </row>
    <row r="40" spans="2:8" x14ac:dyDescent="0.2">
      <c r="B40" t="s">
        <v>14</v>
      </c>
      <c r="C40" s="6" t="str">
        <f>IF(H29&lt;C45,"○")</f>
        <v>○</v>
      </c>
      <c r="E40"/>
      <c r="G40"/>
      <c r="H40"/>
    </row>
    <row r="41" spans="2:8" x14ac:dyDescent="0.2">
      <c r="B41" t="s">
        <v>15</v>
      </c>
      <c r="C41" s="7">
        <f>ROUND(C43*C42^C44,1)</f>
        <v>52.5</v>
      </c>
      <c r="E41"/>
      <c r="G41"/>
      <c r="H41"/>
    </row>
    <row r="42" spans="2:8" x14ac:dyDescent="0.2">
      <c r="B42" t="s">
        <v>17</v>
      </c>
      <c r="C42" s="6">
        <f>H28</f>
        <v>3208060</v>
      </c>
      <c r="E42"/>
      <c r="G42"/>
      <c r="H42"/>
    </row>
    <row r="43" spans="2:8" x14ac:dyDescent="0.2">
      <c r="B43" t="s">
        <v>32</v>
      </c>
      <c r="C43" s="8">
        <v>285.3</v>
      </c>
      <c r="E43"/>
      <c r="G43"/>
      <c r="H43"/>
    </row>
    <row r="44" spans="2:8" x14ac:dyDescent="0.2">
      <c r="B44" t="s">
        <v>33</v>
      </c>
      <c r="C44" s="275">
        <v>-0.113</v>
      </c>
      <c r="E44"/>
      <c r="G44"/>
      <c r="H44"/>
    </row>
    <row r="45" spans="2:8" x14ac:dyDescent="0.2">
      <c r="B45" t="s">
        <v>18</v>
      </c>
      <c r="C45" s="6">
        <f>C42*(C41/100)</f>
        <v>1684231.5</v>
      </c>
      <c r="E45"/>
      <c r="G45"/>
      <c r="H45"/>
    </row>
    <row r="46" spans="2:8" x14ac:dyDescent="0.2">
      <c r="B46" t="s">
        <v>19</v>
      </c>
      <c r="C46" s="8">
        <f>H29*100/H32</f>
        <v>25.560538116591928</v>
      </c>
      <c r="E46"/>
      <c r="G46"/>
      <c r="H46"/>
    </row>
  </sheetData>
  <mergeCells count="21">
    <mergeCell ref="B30:G30"/>
    <mergeCell ref="B31:G31"/>
    <mergeCell ref="B32:G32"/>
    <mergeCell ref="B15:B20"/>
    <mergeCell ref="C15:C20"/>
    <mergeCell ref="B22:G22"/>
    <mergeCell ref="B23:B26"/>
    <mergeCell ref="C23:C26"/>
    <mergeCell ref="B27:G27"/>
    <mergeCell ref="B28:G28"/>
    <mergeCell ref="B4:B14"/>
    <mergeCell ref="C4:C5"/>
    <mergeCell ref="C6:C9"/>
    <mergeCell ref="I6:I9"/>
    <mergeCell ref="B29:G29"/>
    <mergeCell ref="I4:I5"/>
    <mergeCell ref="K23:L23"/>
    <mergeCell ref="I10:I11"/>
    <mergeCell ref="C12:C14"/>
    <mergeCell ref="I12:I14"/>
    <mergeCell ref="C10:C11"/>
  </mergeCells>
  <phoneticPr fontId="7"/>
  <pageMargins left="0.7" right="0.7" top="0.75" bottom="0.75" header="0.3" footer="0.3"/>
  <pageSetup paperSize="9" scale="5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2F547-D317-4E50-B699-17B978A62454}">
  <sheetPr>
    <tabColor rgb="FF7030A0"/>
    <pageSetUpPr fitToPage="1"/>
  </sheetPr>
  <dimension ref="B2:M16"/>
  <sheetViews>
    <sheetView workbookViewId="0"/>
  </sheetViews>
  <sheetFormatPr defaultColWidth="9" defaultRowHeight="13" x14ac:dyDescent="0.2"/>
  <cols>
    <col min="1" max="1" width="1.6328125" style="13" customWidth="1"/>
    <col min="2" max="2" width="12.90625" style="13" customWidth="1"/>
    <col min="3" max="3" width="19.90625" style="13" customWidth="1"/>
    <col min="4" max="4" width="9.08984375" style="14" bestFit="1" customWidth="1"/>
    <col min="5" max="5" width="5.90625" style="13" customWidth="1"/>
    <col min="6" max="6" width="6.08984375" style="15" customWidth="1"/>
    <col min="7" max="7" width="10.90625" style="14" customWidth="1"/>
    <col min="8" max="8" width="32.36328125" style="13" customWidth="1"/>
    <col min="9" max="9" width="1.90625" style="13" customWidth="1"/>
    <col min="10" max="10" width="13.36328125" style="13" customWidth="1"/>
    <col min="11" max="16384" width="9" style="13"/>
  </cols>
  <sheetData>
    <row r="2" spans="2:13" s="1" customFormat="1" ht="16.5" x14ac:dyDescent="0.2">
      <c r="B2" s="54" t="s">
        <v>125</v>
      </c>
      <c r="D2" s="2"/>
      <c r="F2" s="3"/>
      <c r="G2" s="2"/>
    </row>
    <row r="3" spans="2:13" s="1" customFormat="1" ht="16.5" x14ac:dyDescent="0.2">
      <c r="B3" s="54"/>
      <c r="D3" s="2"/>
      <c r="F3" s="3"/>
      <c r="G3" s="2"/>
    </row>
    <row r="4" spans="2:13" s="1" customFormat="1" ht="17" thickBot="1" x14ac:dyDescent="0.25">
      <c r="B4" s="25"/>
      <c r="D4" s="2"/>
      <c r="F4" s="3"/>
      <c r="G4" s="2"/>
    </row>
    <row r="5" spans="2:13" x14ac:dyDescent="0.2">
      <c r="B5" s="17" t="s">
        <v>40</v>
      </c>
      <c r="C5" s="18" t="s">
        <v>1</v>
      </c>
      <c r="D5" s="19" t="s">
        <v>2</v>
      </c>
      <c r="E5" s="18" t="s">
        <v>3</v>
      </c>
      <c r="F5" s="18" t="s">
        <v>4</v>
      </c>
      <c r="G5" s="19" t="s">
        <v>5</v>
      </c>
      <c r="H5" s="20" t="s">
        <v>6</v>
      </c>
      <c r="K5" s="25"/>
      <c r="L5" s="25"/>
      <c r="M5" s="25"/>
    </row>
    <row r="6" spans="2:13" ht="69" customHeight="1" x14ac:dyDescent="0.2">
      <c r="B6" s="522" t="s">
        <v>435</v>
      </c>
      <c r="C6" s="69" t="s">
        <v>436</v>
      </c>
      <c r="D6" s="55">
        <f>SUM(単価!E14,単価!E15)</f>
        <v>18900</v>
      </c>
      <c r="E6" s="53">
        <v>1</v>
      </c>
      <c r="F6" s="56" t="s">
        <v>68</v>
      </c>
      <c r="G6" s="55">
        <f>D6*E6</f>
        <v>18900</v>
      </c>
      <c r="H6" s="52" t="str">
        <f>単価!G14&amp;"："&amp;単価!E14&amp;"円、"&amp;単価!G15&amp;"："&amp;単価!E15&amp;"円"</f>
        <v>丸太町～宮津（往復）→宮津市役所：10640円、丸太町～東舞鶴（往復）→舞鶴市役所：8260円</v>
      </c>
    </row>
    <row r="7" spans="2:13" ht="39" customHeight="1" thickBot="1" x14ac:dyDescent="0.25">
      <c r="B7" s="523"/>
      <c r="C7" s="217" t="s">
        <v>469</v>
      </c>
      <c r="D7" s="218">
        <f>'R5交付金事業計画'!C16-ア【計画評価】①事務費_2P!G6</f>
        <v>81100</v>
      </c>
      <c r="E7" s="47">
        <v>1</v>
      </c>
      <c r="F7" s="219" t="s">
        <v>470</v>
      </c>
      <c r="G7" s="218">
        <f>D7*E7</f>
        <v>81100</v>
      </c>
      <c r="H7" s="220"/>
    </row>
    <row r="8" spans="2:13" ht="13.5" thickBot="1" x14ac:dyDescent="0.25">
      <c r="B8" s="57" t="s">
        <v>24</v>
      </c>
      <c r="C8" s="58"/>
      <c r="D8" s="59"/>
      <c r="E8" s="58"/>
      <c r="F8" s="60"/>
      <c r="G8" s="59">
        <f>SUM(G6:G7)</f>
        <v>100000</v>
      </c>
      <c r="H8" s="61"/>
    </row>
    <row r="9" spans="2:13" x14ac:dyDescent="0.2">
      <c r="B9" s="238"/>
    </row>
    <row r="10" spans="2:13" x14ac:dyDescent="0.2">
      <c r="B10" s="15"/>
    </row>
    <row r="11" spans="2:13" x14ac:dyDescent="0.2">
      <c r="B11"/>
      <c r="K11" s="24"/>
    </row>
    <row r="16" spans="2:13" x14ac:dyDescent="0.2">
      <c r="J16" s="14"/>
    </row>
  </sheetData>
  <mergeCells count="1">
    <mergeCell ref="B6:B7"/>
  </mergeCells>
  <phoneticPr fontId="7"/>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fitToPage="1"/>
  </sheetPr>
  <dimension ref="B2:M16"/>
  <sheetViews>
    <sheetView workbookViewId="0"/>
  </sheetViews>
  <sheetFormatPr defaultColWidth="9" defaultRowHeight="13" x14ac:dyDescent="0.2"/>
  <cols>
    <col min="1" max="1" width="1.6328125" style="13" customWidth="1"/>
    <col min="2" max="2" width="12.90625" style="13" customWidth="1"/>
    <col min="3" max="3" width="19.90625" style="13" customWidth="1"/>
    <col min="4" max="4" width="9.08984375" style="14" bestFit="1" customWidth="1"/>
    <col min="5" max="5" width="5.90625" style="13" customWidth="1"/>
    <col min="6" max="6" width="6.08984375" style="15" customWidth="1"/>
    <col min="7" max="7" width="10.90625" style="14" customWidth="1"/>
    <col min="8" max="8" width="32.36328125" style="13" customWidth="1"/>
    <col min="9" max="9" width="1.90625" style="13" customWidth="1"/>
    <col min="10" max="10" width="13.36328125" style="13" customWidth="1"/>
    <col min="11" max="16384" width="9" style="13"/>
  </cols>
  <sheetData>
    <row r="2" spans="2:13" s="1" customFormat="1" ht="16.5" x14ac:dyDescent="0.2">
      <c r="B2" s="54" t="s">
        <v>125</v>
      </c>
      <c r="D2" s="2"/>
      <c r="F2" s="3"/>
      <c r="G2" s="2"/>
    </row>
    <row r="3" spans="2:13" s="1" customFormat="1" ht="16.5" x14ac:dyDescent="0.2">
      <c r="B3" s="54"/>
      <c r="D3" s="2"/>
      <c r="F3" s="3"/>
      <c r="G3" s="2"/>
    </row>
    <row r="4" spans="2:13" s="1" customFormat="1" ht="17" thickBot="1" x14ac:dyDescent="0.25">
      <c r="B4" s="25"/>
      <c r="D4" s="2"/>
      <c r="F4" s="3"/>
      <c r="G4" s="2"/>
    </row>
    <row r="5" spans="2:13" x14ac:dyDescent="0.2">
      <c r="B5" s="17" t="s">
        <v>40</v>
      </c>
      <c r="C5" s="18" t="s">
        <v>1</v>
      </c>
      <c r="D5" s="19" t="s">
        <v>2</v>
      </c>
      <c r="E5" s="18" t="s">
        <v>3</v>
      </c>
      <c r="F5" s="18" t="s">
        <v>4</v>
      </c>
      <c r="G5" s="19" t="s">
        <v>5</v>
      </c>
      <c r="H5" s="20" t="s">
        <v>6</v>
      </c>
      <c r="K5" s="25"/>
      <c r="L5" s="25"/>
      <c r="M5" s="25"/>
    </row>
    <row r="6" spans="2:13" ht="39" customHeight="1" x14ac:dyDescent="0.2">
      <c r="B6" s="522" t="s">
        <v>103</v>
      </c>
      <c r="C6" s="221" t="s">
        <v>137</v>
      </c>
      <c r="D6" s="22">
        <f>(8360+5610+180)*2</f>
        <v>28300</v>
      </c>
      <c r="E6" s="21">
        <v>1</v>
      </c>
      <c r="F6" s="23" t="s">
        <v>104</v>
      </c>
      <c r="G6" s="22">
        <f>D6*E6</f>
        <v>28300</v>
      </c>
      <c r="H6" s="70" t="s">
        <v>105</v>
      </c>
    </row>
    <row r="7" spans="2:13" ht="39" customHeight="1" thickBot="1" x14ac:dyDescent="0.25">
      <c r="B7" s="523"/>
      <c r="C7" s="211" t="s">
        <v>471</v>
      </c>
      <c r="D7" s="212">
        <f>9700+11000</f>
        <v>20700</v>
      </c>
      <c r="E7" s="213">
        <v>1</v>
      </c>
      <c r="F7" s="214" t="s">
        <v>470</v>
      </c>
      <c r="G7" s="212">
        <f>D7*E7</f>
        <v>20700</v>
      </c>
      <c r="H7" s="106"/>
    </row>
    <row r="8" spans="2:13" ht="13.5" thickBot="1" x14ac:dyDescent="0.25">
      <c r="B8" s="57" t="s">
        <v>24</v>
      </c>
      <c r="C8" s="58"/>
      <c r="D8" s="59"/>
      <c r="E8" s="58"/>
      <c r="F8" s="60"/>
      <c r="G8" s="59">
        <f>SUM(G6:G7)</f>
        <v>49000</v>
      </c>
      <c r="H8" s="61"/>
    </row>
    <row r="9" spans="2:13" x14ac:dyDescent="0.2">
      <c r="B9" s="15"/>
    </row>
    <row r="10" spans="2:13" x14ac:dyDescent="0.2">
      <c r="B10" s="15"/>
    </row>
    <row r="11" spans="2:13" x14ac:dyDescent="0.2">
      <c r="B11"/>
      <c r="K11" s="24"/>
    </row>
    <row r="16" spans="2:13" x14ac:dyDescent="0.2">
      <c r="J16" s="14"/>
    </row>
  </sheetData>
  <mergeCells count="1">
    <mergeCell ref="B6:B7"/>
  </mergeCells>
  <phoneticPr fontId="7"/>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B1:O31"/>
  <sheetViews>
    <sheetView workbookViewId="0"/>
  </sheetViews>
  <sheetFormatPr defaultColWidth="9" defaultRowHeight="13" x14ac:dyDescent="0.2"/>
  <cols>
    <col min="1" max="1" width="1.6328125" style="123" customWidth="1"/>
    <col min="2" max="2" width="12.90625" style="123" customWidth="1"/>
    <col min="3" max="3" width="19.08984375" style="123" customWidth="1"/>
    <col min="4" max="4" width="14.453125" style="123" bestFit="1" customWidth="1"/>
    <col min="5" max="5" width="9.90625" style="125" bestFit="1" customWidth="1"/>
    <col min="6" max="6" width="6" style="123" bestFit="1" customWidth="1"/>
    <col min="7" max="7" width="6.08984375" style="124" customWidth="1"/>
    <col min="8" max="8" width="11.90625" style="125" customWidth="1"/>
    <col min="9" max="9" width="73.26953125" style="123" customWidth="1"/>
    <col min="10" max="10" width="1.90625" style="123" customWidth="1"/>
    <col min="11" max="11" width="12.90625" style="123" customWidth="1"/>
    <col min="12" max="12" width="11.6328125" style="123" customWidth="1"/>
    <col min="13" max="13" width="1.6328125" style="123" customWidth="1"/>
    <col min="14" max="14" width="10.6328125" style="123" bestFit="1" customWidth="1"/>
    <col min="15" max="15" width="11.90625" style="123" customWidth="1"/>
    <col min="16" max="16384" width="9" style="123"/>
  </cols>
  <sheetData>
    <row r="1" spans="2:15" s="126" customFormat="1" ht="25.5" customHeight="1" x14ac:dyDescent="0.2">
      <c r="B1" s="28" t="s">
        <v>192</v>
      </c>
      <c r="C1" s="1"/>
      <c r="D1" s="1"/>
      <c r="E1" s="2"/>
      <c r="F1" s="1"/>
      <c r="G1" s="13"/>
      <c r="H1" s="2"/>
      <c r="I1" s="1"/>
      <c r="N1" s="124"/>
      <c r="O1" s="124"/>
    </row>
    <row r="2" spans="2:15" ht="13.5" thickBot="1" x14ac:dyDescent="0.25">
      <c r="B2"/>
      <c r="C2"/>
      <c r="D2"/>
      <c r="E2" s="4"/>
      <c r="F2"/>
      <c r="G2" s="5"/>
      <c r="H2" s="4"/>
      <c r="I2" s="9"/>
    </row>
    <row r="3" spans="2:15" s="124" customFormat="1" ht="23.25" customHeight="1" x14ac:dyDescent="0.2">
      <c r="B3" s="17" t="s">
        <v>0</v>
      </c>
      <c r="C3" s="18" t="s">
        <v>36</v>
      </c>
      <c r="D3" s="18" t="s">
        <v>1</v>
      </c>
      <c r="E3" s="19" t="s">
        <v>2</v>
      </c>
      <c r="F3" s="18" t="s">
        <v>3</v>
      </c>
      <c r="G3" s="18" t="s">
        <v>4</v>
      </c>
      <c r="H3" s="19" t="s">
        <v>5</v>
      </c>
      <c r="I3" s="20" t="s">
        <v>6</v>
      </c>
      <c r="J3" s="129"/>
      <c r="K3" s="525" t="s">
        <v>193</v>
      </c>
      <c r="L3" s="526"/>
      <c r="M3" s="141"/>
      <c r="N3" s="142"/>
    </row>
    <row r="4" spans="2:15" ht="30.75" customHeight="1" x14ac:dyDescent="0.2">
      <c r="B4" s="239"/>
      <c r="C4" s="104"/>
      <c r="D4" s="104"/>
      <c r="E4" s="103"/>
      <c r="F4" s="104"/>
      <c r="G4" s="240"/>
      <c r="H4" s="103"/>
      <c r="I4" s="241" t="s">
        <v>520</v>
      </c>
      <c r="J4" s="127"/>
      <c r="K4" s="143" t="s">
        <v>8</v>
      </c>
      <c r="L4" s="144">
        <f>単価!E2</f>
        <v>55200</v>
      </c>
      <c r="M4" s="145"/>
      <c r="N4" s="146" t="s">
        <v>26</v>
      </c>
      <c r="O4" s="146"/>
    </row>
    <row r="5" spans="2:15" ht="30.75" customHeight="1" x14ac:dyDescent="0.2">
      <c r="B5" s="94" t="s">
        <v>512</v>
      </c>
      <c r="C5" s="400" t="s">
        <v>23</v>
      </c>
      <c r="D5" s="44" t="s">
        <v>8</v>
      </c>
      <c r="E5" s="22">
        <f>単価!E2</f>
        <v>55200</v>
      </c>
      <c r="F5" s="21">
        <v>1</v>
      </c>
      <c r="G5" s="23" t="s">
        <v>11</v>
      </c>
      <c r="H5" s="22">
        <f t="shared" ref="H5" si="0">+E5*F5</f>
        <v>55200</v>
      </c>
      <c r="I5" s="482" t="s">
        <v>187</v>
      </c>
      <c r="J5" s="127"/>
      <c r="K5" s="143" t="s">
        <v>9</v>
      </c>
      <c r="L5" s="144">
        <f>単価!E4</f>
        <v>35600</v>
      </c>
      <c r="M5" s="145"/>
      <c r="N5" s="146" t="s">
        <v>27</v>
      </c>
      <c r="O5" s="146" t="s">
        <v>60</v>
      </c>
    </row>
    <row r="6" spans="2:15" ht="30.75" customHeight="1" x14ac:dyDescent="0.2">
      <c r="B6" s="95"/>
      <c r="C6" s="402"/>
      <c r="D6" s="44" t="s">
        <v>9</v>
      </c>
      <c r="E6" s="22">
        <f>単価!E4</f>
        <v>35600</v>
      </c>
      <c r="F6" s="21">
        <v>2</v>
      </c>
      <c r="G6" s="23" t="s">
        <v>11</v>
      </c>
      <c r="H6" s="22">
        <f>+E6*F6</f>
        <v>71200</v>
      </c>
      <c r="I6" s="484"/>
      <c r="J6" s="127"/>
      <c r="K6" s="65" t="s">
        <v>7</v>
      </c>
      <c r="L6" s="78">
        <f>単価!E5</f>
        <v>31600</v>
      </c>
      <c r="M6" s="130"/>
    </row>
    <row r="7" spans="2:15" ht="30.75" customHeight="1" x14ac:dyDescent="0.2">
      <c r="B7" s="95"/>
      <c r="C7" s="211" t="s">
        <v>142</v>
      </c>
      <c r="D7" s="44" t="s">
        <v>59</v>
      </c>
      <c r="E7" s="22">
        <f>単価!E5</f>
        <v>31600</v>
      </c>
      <c r="F7" s="21">
        <v>10</v>
      </c>
      <c r="G7" s="23" t="s">
        <v>11</v>
      </c>
      <c r="H7" s="22">
        <f>+E7*F7</f>
        <v>316000</v>
      </c>
      <c r="I7" s="88" t="s">
        <v>189</v>
      </c>
      <c r="J7" s="127"/>
      <c r="K7" s="130"/>
      <c r="L7" s="130"/>
      <c r="M7" s="130"/>
      <c r="N7" s="132">
        <f>SUM(H7:H7)*0.1</f>
        <v>31600</v>
      </c>
    </row>
    <row r="8" spans="2:15" ht="30.75" customHeight="1" x14ac:dyDescent="0.2">
      <c r="B8" s="95"/>
      <c r="C8" s="242"/>
      <c r="D8" s="21" t="s">
        <v>25</v>
      </c>
      <c r="E8" s="22"/>
      <c r="F8" s="21"/>
      <c r="G8" s="23"/>
      <c r="H8" s="22">
        <f>ROUNDDOWN(0.274*H7,0)</f>
        <v>86584</v>
      </c>
      <c r="I8" s="88" t="str">
        <f>"労務者輸送費、個体処分費含む、"&amp;"捕獲者経費"&amp;H7&amp;"円の28%以内"</f>
        <v>労務者輸送費、個体処分費含む、捕獲者経費316000円の28%以内</v>
      </c>
      <c r="J8" s="127"/>
      <c r="K8" s="527" t="s">
        <v>38</v>
      </c>
      <c r="L8" s="528"/>
      <c r="M8" s="133"/>
      <c r="N8" s="134">
        <v>0.56999999999999995</v>
      </c>
    </row>
    <row r="9" spans="2:15" ht="30.75" customHeight="1" x14ac:dyDescent="0.2">
      <c r="B9" s="110"/>
      <c r="C9" s="104" t="s">
        <v>61</v>
      </c>
      <c r="D9" s="104"/>
      <c r="E9" s="243"/>
      <c r="F9" s="22">
        <f>SUM(F5:F8)</f>
        <v>13</v>
      </c>
      <c r="G9" s="23" t="s">
        <v>11</v>
      </c>
      <c r="H9" s="22">
        <f>SUM(H5:H8)</f>
        <v>528984</v>
      </c>
      <c r="I9" s="111"/>
      <c r="J9" s="127"/>
      <c r="K9" s="131" t="s">
        <v>35</v>
      </c>
      <c r="L9" s="122">
        <f>H5+H6</f>
        <v>126400</v>
      </c>
      <c r="M9" s="135"/>
      <c r="N9" s="125">
        <f>L9/H12*L10+L9</f>
        <v>208524.41275447304</v>
      </c>
    </row>
    <row r="10" spans="2:15" ht="30.75" customHeight="1" x14ac:dyDescent="0.2">
      <c r="B10" s="95" t="s">
        <v>143</v>
      </c>
      <c r="C10" s="242" t="s">
        <v>144</v>
      </c>
      <c r="D10" s="21" t="s">
        <v>516</v>
      </c>
      <c r="E10" s="22">
        <f>6000*(B20/100)</f>
        <v>750</v>
      </c>
      <c r="F10" s="21">
        <v>15</v>
      </c>
      <c r="G10" s="23" t="s">
        <v>21</v>
      </c>
      <c r="H10" s="22">
        <f>E10*F10</f>
        <v>11250</v>
      </c>
      <c r="I10" s="111" t="str">
        <f>"損料"&amp;B20&amp;"％（=15%×(25日/30日)）、１5台、＠6,000"</f>
        <v>損料12.5％（=15%×(25日/30日)）、１5台、＠6,000</v>
      </c>
      <c r="J10" s="127"/>
      <c r="K10" s="136" t="s">
        <v>62</v>
      </c>
      <c r="L10" s="122">
        <f>H13+H15</f>
        <v>351000</v>
      </c>
      <c r="M10" s="135"/>
    </row>
    <row r="11" spans="2:15" ht="30.75" customHeight="1" thickBot="1" x14ac:dyDescent="0.25">
      <c r="B11" s="244"/>
      <c r="C11" s="245" t="s">
        <v>61</v>
      </c>
      <c r="D11" s="245"/>
      <c r="E11" s="246"/>
      <c r="F11" s="245"/>
      <c r="G11" s="247"/>
      <c r="H11" s="55">
        <f>SUM(H10:H10)</f>
        <v>11250</v>
      </c>
      <c r="I11" s="248"/>
      <c r="J11" s="127"/>
      <c r="M11" s="135"/>
    </row>
    <row r="12" spans="2:15" ht="30.75" customHeight="1" x14ac:dyDescent="0.2">
      <c r="B12" s="529" t="s">
        <v>37</v>
      </c>
      <c r="C12" s="530"/>
      <c r="D12" s="530"/>
      <c r="E12" s="530"/>
      <c r="F12" s="530"/>
      <c r="G12" s="531"/>
      <c r="H12" s="45">
        <f>H9+H11</f>
        <v>540234</v>
      </c>
      <c r="I12" s="112"/>
      <c r="J12" s="127"/>
      <c r="K12" s="127"/>
      <c r="L12" s="127"/>
      <c r="M12" s="127"/>
    </row>
    <row r="13" spans="2:15" ht="30.75" customHeight="1" x14ac:dyDescent="0.2">
      <c r="B13" s="503" t="s">
        <v>12</v>
      </c>
      <c r="C13" s="486"/>
      <c r="D13" s="486"/>
      <c r="E13" s="486"/>
      <c r="F13" s="486"/>
      <c r="G13" s="487"/>
      <c r="H13" s="22">
        <f>ROUNDDOWN(H12/2,-3)</f>
        <v>270000</v>
      </c>
      <c r="I13" s="46" t="s">
        <v>169</v>
      </c>
      <c r="J13" s="127"/>
      <c r="K13" s="127"/>
      <c r="L13" s="127"/>
      <c r="M13" s="127"/>
    </row>
    <row r="14" spans="2:15" ht="30.75" customHeight="1" x14ac:dyDescent="0.2">
      <c r="B14" s="503" t="s">
        <v>24</v>
      </c>
      <c r="C14" s="486"/>
      <c r="D14" s="486"/>
      <c r="E14" s="486"/>
      <c r="F14" s="486"/>
      <c r="G14" s="487"/>
      <c r="H14" s="22">
        <f>ROUNDDOWN(SUM(H12:H13),-4)</f>
        <v>810000</v>
      </c>
      <c r="I14" s="46" t="s">
        <v>131</v>
      </c>
      <c r="J14" s="127"/>
      <c r="K14" s="127"/>
      <c r="L14" s="130"/>
      <c r="M14" s="130"/>
    </row>
    <row r="15" spans="2:15" ht="30.75" customHeight="1" x14ac:dyDescent="0.2">
      <c r="B15" s="503" t="s">
        <v>13</v>
      </c>
      <c r="C15" s="486"/>
      <c r="D15" s="486"/>
      <c r="E15" s="486"/>
      <c r="F15" s="486"/>
      <c r="G15" s="487"/>
      <c r="H15" s="22">
        <f>ROUNDDOWN((H14*0.1),1)</f>
        <v>81000</v>
      </c>
      <c r="I15" s="249">
        <v>0.1</v>
      </c>
      <c r="J15" s="127"/>
      <c r="K15" s="127"/>
      <c r="L15" s="130"/>
      <c r="M15" s="130"/>
    </row>
    <row r="16" spans="2:15" ht="30.75" customHeight="1" thickBot="1" x14ac:dyDescent="0.25">
      <c r="B16" s="505" t="s">
        <v>20</v>
      </c>
      <c r="C16" s="506"/>
      <c r="D16" s="506"/>
      <c r="E16" s="506"/>
      <c r="F16" s="506"/>
      <c r="G16" s="507"/>
      <c r="H16" s="218">
        <f>SUM(H14:H15)</f>
        <v>891000</v>
      </c>
      <c r="I16" s="250"/>
      <c r="J16" s="127"/>
      <c r="K16" s="127"/>
      <c r="L16" s="130"/>
      <c r="M16" s="130"/>
    </row>
    <row r="17" spans="2:13" ht="21" customHeight="1" x14ac:dyDescent="0.2">
      <c r="B17" s="524" t="str">
        <f>"※"&amp;単価!G2&amp;"参照"</f>
        <v>※P120-「令和５年度設計業務委託等技術者単価」抜粋／土木工事単価資料【土木工事編】【業務委託編】令和４年度（３月改訂版）参照</v>
      </c>
      <c r="C17" s="524"/>
      <c r="D17" s="524"/>
      <c r="E17" s="524"/>
      <c r="F17" s="524"/>
      <c r="G17" s="524"/>
      <c r="H17" s="524"/>
      <c r="I17" s="524"/>
      <c r="J17" s="127"/>
      <c r="K17" s="127"/>
      <c r="L17" s="130"/>
      <c r="M17" s="130"/>
    </row>
    <row r="18" spans="2:13" ht="23.25" customHeight="1" x14ac:dyDescent="0.2">
      <c r="B18" s="238" t="str">
        <f>"※"&amp;単価!G19&amp;"参照"</f>
        <v>※P601-「表２．２　足場材、支保材、防護柵の材料損料率（注）１」／令和４年度版治山林道必携　積算・施工編【上巻】参照</v>
      </c>
      <c r="J18" s="127"/>
      <c r="K18" s="127"/>
      <c r="L18" s="130"/>
      <c r="M18" s="130"/>
    </row>
    <row r="19" spans="2:13" ht="21.75" customHeight="1" x14ac:dyDescent="0.2">
      <c r="B19" s="127" t="s">
        <v>515</v>
      </c>
      <c r="I19" s="125"/>
      <c r="J19" s="127"/>
      <c r="K19" s="127"/>
      <c r="L19" s="130"/>
      <c r="M19" s="130"/>
    </row>
    <row r="20" spans="2:13" ht="21.75" customHeight="1" x14ac:dyDescent="0.2">
      <c r="B20" s="127">
        <f>単価!E19*(25/30)</f>
        <v>12.5</v>
      </c>
      <c r="J20" s="127"/>
      <c r="K20" s="135"/>
      <c r="L20" s="127"/>
      <c r="M20" s="127"/>
    </row>
    <row r="21" spans="2:13" ht="21.75" customHeight="1" x14ac:dyDescent="0.2">
      <c r="B21" s="13"/>
    </row>
    <row r="22" spans="2:13" ht="21.75" customHeight="1" x14ac:dyDescent="0.2"/>
    <row r="23" spans="2:13" ht="19.5" customHeight="1" x14ac:dyDescent="0.2">
      <c r="B23" s="127"/>
    </row>
    <row r="24" spans="2:13" ht="19.5" customHeight="1" x14ac:dyDescent="0.2"/>
    <row r="25" spans="2:13" ht="19.5" customHeight="1" x14ac:dyDescent="0.2">
      <c r="C25" s="123" t="s">
        <v>14</v>
      </c>
      <c r="D25" s="137" t="str">
        <f>IF(H13&lt;D30,"○")</f>
        <v>○</v>
      </c>
    </row>
    <row r="26" spans="2:13" ht="19.5" customHeight="1" x14ac:dyDescent="0.2">
      <c r="B26" s="128" t="s">
        <v>31</v>
      </c>
      <c r="C26" s="123" t="s">
        <v>15</v>
      </c>
      <c r="D26" s="138">
        <f>ROUND(D28*D27^D29,1)</f>
        <v>64.2</v>
      </c>
      <c r="E26" s="123"/>
    </row>
    <row r="27" spans="2:13" x14ac:dyDescent="0.2">
      <c r="B27" s="128" t="s">
        <v>16</v>
      </c>
      <c r="C27" s="123" t="s">
        <v>17</v>
      </c>
      <c r="D27" s="137">
        <f>SUM(H12)</f>
        <v>540234</v>
      </c>
      <c r="E27" s="123"/>
      <c r="L27" s="125"/>
      <c r="M27" s="125"/>
    </row>
    <row r="28" spans="2:13" x14ac:dyDescent="0.2">
      <c r="C28" s="123" t="s">
        <v>32</v>
      </c>
      <c r="D28" s="139">
        <v>285.3</v>
      </c>
      <c r="E28" s="123"/>
    </row>
    <row r="29" spans="2:13" x14ac:dyDescent="0.2">
      <c r="C29" s="123" t="s">
        <v>33</v>
      </c>
      <c r="D29" s="140">
        <v>-0.113</v>
      </c>
      <c r="E29" s="123"/>
    </row>
    <row r="30" spans="2:13" x14ac:dyDescent="0.2">
      <c r="C30" s="123" t="s">
        <v>18</v>
      </c>
      <c r="D30" s="137">
        <f>D27*(D26/100)</f>
        <v>346830.228</v>
      </c>
      <c r="E30" s="123"/>
    </row>
    <row r="31" spans="2:13" x14ac:dyDescent="0.2">
      <c r="B31" s="125"/>
      <c r="C31" s="123" t="s">
        <v>19</v>
      </c>
      <c r="D31" s="139">
        <f>H13*100/D27</f>
        <v>49.978342718155467</v>
      </c>
      <c r="E31" s="123"/>
    </row>
  </sheetData>
  <mergeCells count="10">
    <mergeCell ref="B17:I17"/>
    <mergeCell ref="K3:L3"/>
    <mergeCell ref="C5:C6"/>
    <mergeCell ref="I5:I6"/>
    <mergeCell ref="B16:G16"/>
    <mergeCell ref="K8:L8"/>
    <mergeCell ref="B12:G12"/>
    <mergeCell ref="B13:G13"/>
    <mergeCell ref="B14:G14"/>
    <mergeCell ref="B15:G15"/>
  </mergeCells>
  <phoneticPr fontId="7"/>
  <pageMargins left="0.67" right="0.18" top="1.7" bottom="0.98425196850393704" header="0.51181102362204722" footer="0.51181102362204722"/>
  <pageSetup paperSize="9" scale="84"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B2:H21"/>
  <sheetViews>
    <sheetView workbookViewId="0"/>
  </sheetViews>
  <sheetFormatPr defaultColWidth="9" defaultRowHeight="13" x14ac:dyDescent="0.2"/>
  <cols>
    <col min="1" max="1" width="1.6328125" customWidth="1"/>
    <col min="2" max="2" width="21.453125" customWidth="1"/>
    <col min="3" max="3" width="16.6328125" customWidth="1"/>
    <col min="4" max="4" width="9.90625" style="4" bestFit="1" customWidth="1"/>
    <col min="5" max="5" width="7.08984375" customWidth="1"/>
    <col min="6" max="6" width="7.08984375" style="5" customWidth="1"/>
    <col min="7" max="7" width="10.90625" style="4" customWidth="1"/>
    <col min="8" max="8" width="33.36328125" customWidth="1"/>
    <col min="9" max="9" width="6" customWidth="1"/>
    <col min="10" max="10" width="11.08984375" bestFit="1" customWidth="1"/>
  </cols>
  <sheetData>
    <row r="2" spans="2:8" s="1" customFormat="1" ht="16.5" x14ac:dyDescent="0.2">
      <c r="B2" s="1" t="s">
        <v>191</v>
      </c>
      <c r="D2" s="2"/>
      <c r="F2" s="13"/>
      <c r="G2" s="2"/>
    </row>
    <row r="3" spans="2:8" ht="13.5" thickBot="1" x14ac:dyDescent="0.25">
      <c r="H3" s="9"/>
    </row>
    <row r="4" spans="2:8" s="5" customFormat="1" ht="18.75" customHeight="1" x14ac:dyDescent="0.2">
      <c r="B4" s="17" t="s">
        <v>40</v>
      </c>
      <c r="C4" s="18" t="s">
        <v>1</v>
      </c>
      <c r="D4" s="19" t="s">
        <v>2</v>
      </c>
      <c r="E4" s="18" t="s">
        <v>3</v>
      </c>
      <c r="F4" s="18" t="s">
        <v>4</v>
      </c>
      <c r="G4" s="19" t="s">
        <v>5</v>
      </c>
      <c r="H4" s="20" t="s">
        <v>6</v>
      </c>
    </row>
    <row r="5" spans="2:8" ht="37" customHeight="1" x14ac:dyDescent="0.2">
      <c r="B5" s="488" t="s">
        <v>190</v>
      </c>
      <c r="C5" s="21" t="s">
        <v>41</v>
      </c>
      <c r="D5" s="22">
        <f>D19</f>
        <v>947.69</v>
      </c>
      <c r="E5" s="21">
        <v>28</v>
      </c>
      <c r="F5" s="23" t="s">
        <v>22</v>
      </c>
      <c r="G5" s="22">
        <f>D5*E5</f>
        <v>26535.32</v>
      </c>
      <c r="H5" s="254" t="s">
        <v>188</v>
      </c>
    </row>
    <row r="6" spans="2:8" ht="27" customHeight="1" x14ac:dyDescent="0.2">
      <c r="B6" s="489"/>
      <c r="C6" s="21" t="s">
        <v>42</v>
      </c>
      <c r="D6" s="22">
        <v>4000</v>
      </c>
      <c r="E6" s="21">
        <v>15</v>
      </c>
      <c r="F6" s="23" t="s">
        <v>43</v>
      </c>
      <c r="G6" s="22">
        <f>D6*E6</f>
        <v>60000</v>
      </c>
      <c r="H6" s="111" t="s">
        <v>138</v>
      </c>
    </row>
    <row r="7" spans="2:8" ht="27" customHeight="1" thickBot="1" x14ac:dyDescent="0.25">
      <c r="B7" s="513"/>
      <c r="C7" s="47" t="s">
        <v>10</v>
      </c>
      <c r="D7" s="218"/>
      <c r="E7" s="47"/>
      <c r="F7" s="219"/>
      <c r="G7" s="218">
        <f>ROUNDDOWN(SUM(G5:G6),-3)</f>
        <v>86000</v>
      </c>
      <c r="H7" s="250" t="s">
        <v>530</v>
      </c>
    </row>
    <row r="8" spans="2:8" ht="27" customHeight="1" x14ac:dyDescent="0.2">
      <c r="H8" s="33"/>
    </row>
    <row r="9" spans="2:8" x14ac:dyDescent="0.2">
      <c r="B9" t="s">
        <v>44</v>
      </c>
      <c r="H9" s="33"/>
    </row>
    <row r="10" spans="2:8" x14ac:dyDescent="0.2">
      <c r="B10" s="147" t="s">
        <v>524</v>
      </c>
      <c r="D10"/>
      <c r="F10"/>
      <c r="G10"/>
    </row>
    <row r="11" spans="2:8" ht="26" x14ac:dyDescent="0.2">
      <c r="B11" s="12"/>
      <c r="C11" s="251" t="s">
        <v>117</v>
      </c>
      <c r="D11" s="12" t="s">
        <v>526</v>
      </c>
      <c r="E11" s="12" t="s">
        <v>45</v>
      </c>
      <c r="F11" s="12" t="s">
        <v>46</v>
      </c>
      <c r="G11" s="79" t="s">
        <v>47</v>
      </c>
      <c r="H11" s="79" t="s">
        <v>527</v>
      </c>
    </row>
    <row r="12" spans="2:8" x14ac:dyDescent="0.2">
      <c r="B12" s="35" t="s">
        <v>121</v>
      </c>
      <c r="C12" s="252" t="s">
        <v>122</v>
      </c>
      <c r="D12" s="34" t="s">
        <v>16</v>
      </c>
      <c r="E12" s="35" t="s">
        <v>48</v>
      </c>
      <c r="F12" s="35" t="s">
        <v>49</v>
      </c>
      <c r="G12" s="34" t="s">
        <v>50</v>
      </c>
      <c r="H12" s="34" t="s">
        <v>16</v>
      </c>
    </row>
    <row r="13" spans="2:8" x14ac:dyDescent="0.2">
      <c r="B13" s="65" t="s">
        <v>194</v>
      </c>
      <c r="C13" s="65">
        <f>19.4*1.5</f>
        <v>29.099999999999998</v>
      </c>
      <c r="D13" s="228">
        <f>単価!E6</f>
        <v>150</v>
      </c>
      <c r="E13" s="35">
        <v>10</v>
      </c>
      <c r="F13" s="35">
        <v>30</v>
      </c>
      <c r="G13" s="81">
        <f>ROUNDDOWN(C13/F13,2)</f>
        <v>0.97</v>
      </c>
      <c r="H13" s="255">
        <f>単価!E12</f>
        <v>527</v>
      </c>
    </row>
    <row r="14" spans="2:8" x14ac:dyDescent="0.2">
      <c r="B14" s="321" t="str">
        <f>"※"&amp;単価!G6&amp;"参照"</f>
        <v>※P20-「ガソリン（委託用）レギュラー／3-1 03)燃料類」抜粋／土木工事単価資料【土木工事編】【業務委託編】令和４年度（３月改訂版）参照</v>
      </c>
      <c r="D14"/>
      <c r="F14"/>
      <c r="G14"/>
    </row>
    <row r="15" spans="2:8" x14ac:dyDescent="0.2">
      <c r="B15" s="321" t="str">
        <f>"※"&amp;単価!G12&amp;"参照"</f>
        <v>※P321-「2022ライトバン／20 その他の機器／経費積算要領第２建設期間損料算定表」／令和４年度版治山林道必携積算・施工編【下巻】参照</v>
      </c>
      <c r="D15"/>
      <c r="F15"/>
      <c r="G15"/>
    </row>
    <row r="16" spans="2:8" x14ac:dyDescent="0.2">
      <c r="B16" s="532" t="s">
        <v>525</v>
      </c>
      <c r="C16" s="533"/>
      <c r="D16" s="38" t="s">
        <v>51</v>
      </c>
      <c r="E16" s="43"/>
      <c r="G16" s="9"/>
    </row>
    <row r="17" spans="2:8" x14ac:dyDescent="0.2">
      <c r="B17" s="39" t="s">
        <v>58</v>
      </c>
      <c r="C17" s="37"/>
      <c r="D17" s="253">
        <f>C13*D13/E13</f>
        <v>436.5</v>
      </c>
      <c r="E17" s="43"/>
      <c r="G17" s="9"/>
    </row>
    <row r="18" spans="2:8" x14ac:dyDescent="0.2">
      <c r="B18" s="40" t="s">
        <v>52</v>
      </c>
      <c r="C18" s="41"/>
      <c r="D18" s="253">
        <f>G13*H13</f>
        <v>511.19</v>
      </c>
      <c r="G18"/>
    </row>
    <row r="19" spans="2:8" x14ac:dyDescent="0.2">
      <c r="B19" s="532" t="s">
        <v>53</v>
      </c>
      <c r="C19" s="534"/>
      <c r="D19" s="253">
        <f>SUM(D17:D18)</f>
        <v>947.69</v>
      </c>
      <c r="E19" s="43"/>
      <c r="H19" s="5"/>
    </row>
    <row r="20" spans="2:8" x14ac:dyDescent="0.2">
      <c r="B20" s="238"/>
      <c r="G20"/>
    </row>
    <row r="21" spans="2:8" x14ac:dyDescent="0.2">
      <c r="G21"/>
    </row>
  </sheetData>
  <mergeCells count="3">
    <mergeCell ref="B16:C16"/>
    <mergeCell ref="B19:C19"/>
    <mergeCell ref="B5:B7"/>
  </mergeCells>
  <phoneticPr fontId="7"/>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積算資料</vt:lpstr>
      <vt:lpstr>R5交付金事業計画</vt:lpstr>
      <vt:lpstr>単価</vt:lpstr>
      <vt:lpstr>ア【計画評価】【積算】②Ｒ5 予算書_シカ_1P</vt:lpstr>
      <vt:lpstr>ア【計画評価】②委託 _2P</vt:lpstr>
      <vt:lpstr>ア【計画評価】①事務費_2P</vt:lpstr>
      <vt:lpstr>ア【計画評価】③④事務費_2P</vt:lpstr>
      <vt:lpstr>イ【捕獲】舞鶴市神崎_3P</vt:lpstr>
      <vt:lpstr>イ【捕獲_諸雑費】舞鶴市神崎_添付しない</vt:lpstr>
      <vt:lpstr>イ【捕獲_事務費】舞鶴市神崎_4P</vt:lpstr>
      <vt:lpstr>ウ_【効果捕獲】府事務費_5P</vt:lpstr>
      <vt:lpstr>ウ_【効果捕獲】_6P</vt:lpstr>
      <vt:lpstr>ウ_【効果捕獲】諸雑費_添付しない</vt:lpstr>
      <vt:lpstr>カ_【ジビエ】捕獲_7P</vt:lpstr>
      <vt:lpstr>カ_【ジビエ】捕獲②</vt:lpstr>
      <vt:lpstr>カ_【ジビエ】捕獲府事務費 _8P</vt:lpstr>
      <vt:lpstr>'R5交付金事業計画'!Print_Area</vt:lpstr>
      <vt:lpstr>'ア【計画評価】【積算】②Ｒ5 予算書_シカ_1P'!Print_Area</vt:lpstr>
      <vt:lpstr>ア【計画評価】①事務費_2P!Print_Area</vt:lpstr>
      <vt:lpstr>'ア【計画評価】②委託 _2P'!Print_Area</vt:lpstr>
      <vt:lpstr>ア【計画評価】③④事務費_2P!Print_Area</vt:lpstr>
      <vt:lpstr>イ【捕獲_事務費】舞鶴市神崎_4P!Print_Area</vt:lpstr>
      <vt:lpstr>イ【捕獲_諸雑費】舞鶴市神崎_添付しない!Print_Area</vt:lpstr>
      <vt:lpstr>イ【捕獲】舞鶴市神崎_3P!Print_Area</vt:lpstr>
      <vt:lpstr>ウ_【効果捕獲】_6P!Print_Area</vt:lpstr>
      <vt:lpstr>ウ_【効果捕獲】諸雑費_添付しない!Print_Area</vt:lpstr>
      <vt:lpstr>ウ_【効果捕獲】府事務費_5P!Print_Area</vt:lpstr>
      <vt:lpstr>カ_【ジビエ】捕獲_7P!Print_Area</vt:lpstr>
      <vt:lpstr>カ_【ジビエ】捕獲②!Print_Area</vt:lpstr>
      <vt:lpstr>'カ_【ジビエ】捕獲府事務費 _8P'!Print_Area</vt:lpstr>
      <vt:lpstr>積算資料!Print_Area</vt:lpstr>
      <vt:lpstr>単価!Print_Area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磯井　達也（会任）</cp:lastModifiedBy>
  <cp:lastPrinted>2026-03-09T03:02:49Z</cp:lastPrinted>
  <dcterms:created xsi:type="dcterms:W3CDTF">2015-06-09T00:55:19Z</dcterms:created>
  <dcterms:modified xsi:type="dcterms:W3CDTF">2026-03-26T05:39:27Z</dcterms:modified>
</cp:coreProperties>
</file>