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各課専用\農村振興課\05 野生鳥獣担当\090 調査研究（生息動態調査・豊凶調査・下層植生調査・歯齢査定など）\01 生息動態調査\令和７年度\01_調査委託（ニホンジカ生息動態調査）\01 入札起案\施行・HP\HP\"/>
    </mc:Choice>
  </mc:AlternateContent>
  <xr:revisionPtr revIDLastSave="0" documentId="8_{F94E3AEB-9CAE-425E-A0E9-C11C86675647}" xr6:coauthVersionLast="36" xr6:coauthVersionMax="36" xr10:uidLastSave="{00000000-0000-0000-0000-000000000000}"/>
  <bookViews>
    <workbookView xWindow="-120" yWindow="-120" windowWidth="29040" windowHeight="15720" xr2:uid="{A9FCE983-56F7-4F56-A9A9-6B3936CBE204}"/>
  </bookViews>
  <sheets>
    <sheet name="【積算】Ｒ７予算書_シカ" sheetId="66" r:id="rId1"/>
    <sheet name="R5交付金事業計画" sheetId="56" state="hidden" r:id="rId2"/>
    <sheet name="単価" sheetId="52" state="hidden" r:id="rId3"/>
    <sheet name="ア【計画評価】【積算】②Ｒ5 予算書_シカ_1P" sheetId="57" state="hidden" r:id="rId4"/>
    <sheet name="ア【計画評価】②委託 _2P" sheetId="39" state="hidden" r:id="rId5"/>
    <sheet name="ア【計画評価】①事務費_2P" sheetId="53" state="hidden" r:id="rId6"/>
    <sheet name="ア【計画評価】③④事務費_2P" sheetId="37" state="hidden" r:id="rId7"/>
    <sheet name="イ【捕獲】舞鶴市神崎_3P" sheetId="22" state="hidden" r:id="rId8"/>
    <sheet name="イ【捕獲_諸雑費】舞鶴市神崎_添付しない" sheetId="34" state="hidden" r:id="rId9"/>
    <sheet name="イ【捕獲_事務費】舞鶴市神崎_4P" sheetId="29" state="hidden" r:id="rId10"/>
    <sheet name="ウ_【効果捕獲】府事務費_5P" sheetId="43" state="hidden" r:id="rId11"/>
    <sheet name="ウ_【効果捕獲】_6P" sheetId="41" state="hidden" r:id="rId12"/>
    <sheet name="ウ_【効果捕獲】諸雑費_添付しない" sheetId="42" state="hidden" r:id="rId13"/>
    <sheet name="カ_【ジビエ】捕獲_7P" sheetId="48" state="hidden" r:id="rId14"/>
    <sheet name="カ_【ジビエ】捕獲②" sheetId="46" state="hidden" r:id="rId15"/>
    <sheet name="カ_【ジビエ】捕獲府事務費 _8P" sheetId="47" state="hidden" r:id="rId16"/>
  </sheets>
  <definedNames>
    <definedName name="_xlnm.Print_Area" localSheetId="0">【積算】Ｒ７予算書_シカ!$A$1:$N$33</definedName>
    <definedName name="_xlnm.Print_Area" localSheetId="1">'R5交付金事業計画'!$A$1:$H$364</definedName>
    <definedName name="_xlnm.Print_Area" localSheetId="3">'ア【計画評価】【積算】②Ｒ5 予算書_シカ_1P'!$B$27:$I$50,'ア【計画評価】【積算】②Ｒ5 予算書_シカ_1P'!$B$1:$J$25</definedName>
    <definedName name="_xlnm.Print_Area" localSheetId="5">ア【計画評価】①事務費_2P!$A$1:$I$10</definedName>
    <definedName name="_xlnm.Print_Area" localSheetId="4">'ア【計画評価】②委託 _2P'!$A$1:$J$36</definedName>
    <definedName name="_xlnm.Print_Area" localSheetId="6">ア【計画評価】③④事務費_2P!$A$1:$I$10</definedName>
    <definedName name="_xlnm.Print_Area" localSheetId="9">イ【捕獲_事務費】舞鶴市神崎_4P!$A$1:$J$8</definedName>
    <definedName name="_xlnm.Print_Area" localSheetId="8">イ【捕獲_諸雑費】舞鶴市神崎_添付しない!$A$1:$I$21</definedName>
    <definedName name="_xlnm.Print_Area" localSheetId="7">イ【捕獲】舞鶴市神崎_3P!$A$1:$J$18</definedName>
    <definedName name="_xlnm.Print_Area" localSheetId="11">ウ_【効果捕獲】_6P!$A$1:$J$22</definedName>
    <definedName name="_xlnm.Print_Area" localSheetId="12">ウ_【効果捕獲】諸雑費_添付しない!$A$1:$J$22</definedName>
    <definedName name="_xlnm.Print_Area" localSheetId="10">ウ_【効果捕獲】府事務費_5P!$A$1:$I$9</definedName>
    <definedName name="_xlnm.Print_Area" localSheetId="13">カ_【ジビエ】捕獲_7P!$A$1:$I$16</definedName>
    <definedName name="_xlnm.Print_Area" localSheetId="14">カ_【ジビエ】捕獲②!$A$1:$I$17</definedName>
    <definedName name="_xlnm.Print_Area" localSheetId="15">'カ_【ジビエ】捕獲府事務費 _8P'!$A$1:$I$9</definedName>
    <definedName name="_xlnm.Print_Area" localSheetId="2">単価!$A$1:$G$21</definedName>
  </definedNames>
  <calcPr calcId="191029"/>
</workbook>
</file>

<file path=xl/calcChain.xml><?xml version="1.0" encoding="utf-8"?>
<calcChain xmlns="http://schemas.openxmlformats.org/spreadsheetml/2006/main">
  <c r="L23" i="66" l="1"/>
  <c r="L22" i="66" l="1"/>
  <c r="G42" i="57"/>
  <c r="G41" i="57"/>
  <c r="G30" i="57"/>
  <c r="H8" i="48" l="1"/>
  <c r="H7" i="48"/>
  <c r="H6" i="48"/>
  <c r="H9" i="48" s="1"/>
  <c r="H10" i="48" s="1"/>
  <c r="H4" i="48"/>
  <c r="H14" i="41"/>
  <c r="H13" i="41"/>
  <c r="H12" i="41"/>
  <c r="E16" i="52"/>
  <c r="H26" i="39"/>
  <c r="H23" i="39"/>
  <c r="H20" i="39"/>
  <c r="H19" i="39"/>
  <c r="H18" i="39"/>
  <c r="H21" i="39"/>
  <c r="E4" i="39"/>
  <c r="F9" i="41" l="1"/>
  <c r="F8" i="41"/>
  <c r="D48" i="57"/>
  <c r="G48" i="57" s="1"/>
  <c r="D47" i="57"/>
  <c r="G47" i="57" s="1"/>
  <c r="D31" i="57"/>
  <c r="G31" i="57" s="1"/>
  <c r="G12" i="57" l="1"/>
  <c r="B16" i="42" l="1"/>
  <c r="B22" i="41"/>
  <c r="B21" i="41"/>
  <c r="B20" i="41"/>
  <c r="B15" i="34"/>
  <c r="B14" i="34"/>
  <c r="B17" i="22"/>
  <c r="B50" i="57"/>
  <c r="B23" i="57"/>
  <c r="D46" i="57"/>
  <c r="G46" i="57" s="1"/>
  <c r="D45" i="57"/>
  <c r="G45" i="57" s="1"/>
  <c r="B18" i="22"/>
  <c r="B33" i="39"/>
  <c r="D7" i="37" l="1"/>
  <c r="F11" i="57"/>
  <c r="F10" i="57"/>
  <c r="F9" i="57"/>
  <c r="F8" i="57"/>
  <c r="F7" i="57"/>
  <c r="F6" i="57"/>
  <c r="F5" i="57"/>
  <c r="I5" i="57" s="1"/>
  <c r="E6" i="29"/>
  <c r="E24" i="39" l="1"/>
  <c r="H24" i="39" s="1"/>
  <c r="E25" i="39"/>
  <c r="H25" i="39" s="1"/>
  <c r="E14" i="39"/>
  <c r="H14" i="39" s="1"/>
  <c r="E13" i="39"/>
  <c r="E12" i="39"/>
  <c r="H12" i="39" s="1"/>
  <c r="E11" i="39"/>
  <c r="E10" i="39"/>
  <c r="H10" i="39" s="1"/>
  <c r="E9" i="39"/>
  <c r="H9" i="39" s="1"/>
  <c r="E8" i="39"/>
  <c r="H8" i="39" s="1"/>
  <c r="E7" i="39"/>
  <c r="H7" i="39" s="1"/>
  <c r="E6" i="39"/>
  <c r="H6" i="39" s="1"/>
  <c r="E5" i="39"/>
  <c r="D7" i="43"/>
  <c r="H13" i="34"/>
  <c r="B20" i="22"/>
  <c r="E10" i="22" l="1"/>
  <c r="H10" i="22" s="1"/>
  <c r="I10" i="22"/>
  <c r="H27" i="39"/>
  <c r="L4" i="22"/>
  <c r="E7" i="22"/>
  <c r="E6" i="22"/>
  <c r="E5" i="22"/>
  <c r="E18" i="52"/>
  <c r="E5" i="29" s="1"/>
  <c r="H5" i="29" s="1"/>
  <c r="G7" i="47"/>
  <c r="H6" i="47"/>
  <c r="H5" i="47"/>
  <c r="E17" i="52"/>
  <c r="D6" i="47" s="1"/>
  <c r="D5" i="47"/>
  <c r="G5" i="47" s="1"/>
  <c r="G7" i="43"/>
  <c r="G7" i="42"/>
  <c r="G5" i="42"/>
  <c r="H6" i="43"/>
  <c r="H5" i="43"/>
  <c r="E15" i="52"/>
  <c r="D6" i="43" s="1"/>
  <c r="G6" i="43" s="1"/>
  <c r="E14" i="52"/>
  <c r="K17" i="41"/>
  <c r="I13" i="41" s="1"/>
  <c r="D5" i="43" l="1"/>
  <c r="G5" i="43" s="1"/>
  <c r="H6" i="53"/>
  <c r="D6" i="53"/>
  <c r="G6" i="53" s="1"/>
  <c r="G8" i="43"/>
  <c r="E9" i="41"/>
  <c r="H9" i="41" s="1"/>
  <c r="E8" i="41"/>
  <c r="H8" i="41" s="1"/>
  <c r="E7" i="41"/>
  <c r="H7" i="41" s="1"/>
  <c r="E6" i="41"/>
  <c r="H6" i="41" s="1"/>
  <c r="E5" i="41"/>
  <c r="H5" i="41" s="1"/>
  <c r="F7" i="52"/>
  <c r="H10" i="41" l="1"/>
  <c r="E10" i="41" s="1"/>
  <c r="M10" i="41"/>
  <c r="I10" i="41" s="1"/>
  <c r="H15" i="42"/>
  <c r="H14" i="42"/>
  <c r="D15" i="42"/>
  <c r="D14" i="42"/>
  <c r="H11" i="41" l="1"/>
  <c r="H15" i="41" s="1"/>
  <c r="J18" i="56"/>
  <c r="J19" i="56"/>
  <c r="J22" i="56"/>
  <c r="J24" i="56"/>
  <c r="J26" i="56"/>
  <c r="J27" i="56"/>
  <c r="J28" i="56"/>
  <c r="J32" i="56"/>
  <c r="J33" i="56"/>
  <c r="G15" i="42"/>
  <c r="D19" i="42" s="1"/>
  <c r="C14" i="42"/>
  <c r="G14" i="42" s="1"/>
  <c r="C15" i="42"/>
  <c r="D18" i="42" s="1"/>
  <c r="D20" i="42" l="1"/>
  <c r="D6" i="42" s="1"/>
  <c r="G6" i="42" s="1"/>
  <c r="H6" i="29"/>
  <c r="H11" i="48"/>
  <c r="H12" i="48" l="1"/>
  <c r="H13" i="48" s="1"/>
  <c r="H11" i="22" l="1"/>
  <c r="G7" i="37"/>
  <c r="D44" i="57" l="1"/>
  <c r="G44" i="57" s="1"/>
  <c r="D43" i="57"/>
  <c r="G43" i="57" s="1"/>
  <c r="G34" i="57"/>
  <c r="G33" i="57"/>
  <c r="G32" i="57"/>
  <c r="G35" i="57" l="1"/>
  <c r="G49" i="57"/>
  <c r="I11" i="57"/>
  <c r="I10" i="57"/>
  <c r="I9" i="57"/>
  <c r="I8" i="57"/>
  <c r="I7" i="57"/>
  <c r="I6" i="57"/>
  <c r="I12" i="57" l="1"/>
  <c r="I17" i="57"/>
  <c r="I13" i="57" l="1"/>
  <c r="I14" i="57" s="1"/>
  <c r="J15" i="57" l="1"/>
  <c r="I15" i="57"/>
  <c r="I16" i="57" s="1"/>
  <c r="I18" i="57" s="1"/>
  <c r="E53" i="57" s="1"/>
  <c r="F56" i="57"/>
  <c r="I19" i="57" s="1"/>
  <c r="E52" i="57"/>
  <c r="E56" i="57" s="1"/>
  <c r="E51" i="57" l="1"/>
  <c r="I20" i="57" l="1"/>
  <c r="I21" i="57" l="1"/>
  <c r="I22" i="57" l="1"/>
  <c r="I17" i="56" s="1"/>
  <c r="H18" i="48" l="1"/>
  <c r="L11" i="39" l="1"/>
  <c r="L10" i="39"/>
  <c r="L9" i="39"/>
  <c r="L8" i="39"/>
  <c r="L7" i="39"/>
  <c r="L6" i="22"/>
  <c r="L5" i="22"/>
  <c r="D13" i="34"/>
  <c r="D6" i="37"/>
  <c r="G6" i="37" s="1"/>
  <c r="G8" i="37" s="1"/>
  <c r="C13" i="34"/>
  <c r="G13" i="34" s="1"/>
  <c r="D18" i="34" s="1"/>
  <c r="H7" i="29"/>
  <c r="D17" i="34" l="1"/>
  <c r="D7" i="53"/>
  <c r="G7" i="53" s="1"/>
  <c r="G8" i="53" s="1"/>
  <c r="F9" i="22"/>
  <c r="D19" i="34" l="1"/>
  <c r="D5" i="34" s="1"/>
  <c r="G8" i="42"/>
  <c r="G5" i="34" l="1"/>
  <c r="G6" i="47" l="1"/>
  <c r="G8" i="47" s="1"/>
  <c r="I10" i="48" l="1"/>
  <c r="H5" i="48"/>
  <c r="H14" i="48" s="1"/>
  <c r="L6" i="48" l="1"/>
  <c r="I30" i="56"/>
  <c r="J30" i="56" s="1"/>
  <c r="L8" i="48"/>
  <c r="L7" i="48"/>
  <c r="I31" i="56"/>
  <c r="J31" i="56" s="1"/>
  <c r="D22" i="48" l="1"/>
  <c r="D25" i="48" s="1"/>
  <c r="H5" i="39"/>
  <c r="H19" i="48" l="1"/>
  <c r="D26" i="48"/>
  <c r="D20" i="48"/>
  <c r="H9" i="46"/>
  <c r="H8" i="46"/>
  <c r="H7" i="46"/>
  <c r="H5" i="46"/>
  <c r="H4" i="46"/>
  <c r="H10" i="46" l="1"/>
  <c r="H6" i="46"/>
  <c r="H11" i="46" l="1"/>
  <c r="H12" i="46" s="1"/>
  <c r="L6" i="46"/>
  <c r="L5" i="46"/>
  <c r="D23" i="46" l="1"/>
  <c r="D22" i="46" l="1"/>
  <c r="D26" i="46" s="1"/>
  <c r="L7" i="46" l="1"/>
  <c r="H13" i="46"/>
  <c r="D27" i="46"/>
  <c r="D21" i="46"/>
  <c r="H14" i="46" l="1"/>
  <c r="H15" i="46" s="1"/>
  <c r="L11" i="41" l="1"/>
  <c r="K8" i="41"/>
  <c r="E8" i="52" l="1"/>
  <c r="E7" i="52" s="1"/>
  <c r="D31" i="41"/>
  <c r="D30" i="41" s="1"/>
  <c r="L12" i="41"/>
  <c r="I16" i="41" l="1"/>
  <c r="H16" i="41"/>
  <c r="H17" i="41" s="1"/>
  <c r="E11" i="52"/>
  <c r="H30" i="41"/>
  <c r="D34" i="41"/>
  <c r="H18" i="41" l="1"/>
  <c r="H19" i="41" s="1"/>
  <c r="H31" i="41"/>
  <c r="H32" i="41"/>
  <c r="H17" i="39"/>
  <c r="H16" i="39"/>
  <c r="H15" i="39"/>
  <c r="H4" i="39" l="1"/>
  <c r="H13" i="39"/>
  <c r="H11" i="39"/>
  <c r="I21" i="39" l="1"/>
  <c r="H22" i="39"/>
  <c r="H28" i="39" s="1"/>
  <c r="H29" i="39" s="1"/>
  <c r="L24" i="39"/>
  <c r="L25" i="39"/>
  <c r="K4" i="39"/>
  <c r="L26" i="39"/>
  <c r="L27" i="39" l="1"/>
  <c r="M26" i="39" s="1"/>
  <c r="G6" i="34"/>
  <c r="G7" i="34" s="1"/>
  <c r="H5" i="22"/>
  <c r="H6" i="22"/>
  <c r="H7" i="22"/>
  <c r="I8" i="22" s="1"/>
  <c r="H8" i="22" l="1"/>
  <c r="L9" i="22"/>
  <c r="H9" i="22"/>
  <c r="H12" i="22" s="1"/>
  <c r="H13" i="22" s="1"/>
  <c r="N7" i="22"/>
  <c r="H30" i="39"/>
  <c r="C42" i="39"/>
  <c r="L28" i="39" l="1"/>
  <c r="H14" i="22"/>
  <c r="H15" i="22" s="1"/>
  <c r="H16" i="22" s="1"/>
  <c r="I21" i="56" s="1"/>
  <c r="I20" i="56" s="1"/>
  <c r="C41" i="39"/>
  <c r="L10" i="22" l="1"/>
  <c r="C45" i="39"/>
  <c r="C40" i="39" l="1"/>
  <c r="H31" i="39" l="1"/>
  <c r="H32" i="39" s="1"/>
  <c r="I16" i="56" l="1"/>
  <c r="I15" i="56" s="1"/>
  <c r="L29" i="39"/>
  <c r="L30" i="39"/>
  <c r="J17" i="56" l="1"/>
  <c r="C46" i="39"/>
  <c r="D27" i="22"/>
  <c r="J15" i="56" l="1"/>
  <c r="J16" i="56"/>
  <c r="N9" i="22"/>
  <c r="D26" i="22"/>
  <c r="D30" i="22" s="1"/>
  <c r="D25" i="22" s="1"/>
  <c r="D31" i="22"/>
  <c r="J20" i="56" l="1"/>
  <c r="J21" i="56"/>
  <c r="H20" i="48"/>
  <c r="H21" i="48" s="1"/>
  <c r="I29" i="56" l="1"/>
  <c r="J29" i="56" s="1"/>
  <c r="D29" i="41" l="1"/>
  <c r="L13" i="41"/>
  <c r="L14" i="41"/>
  <c r="L15" i="41" l="1"/>
  <c r="I25" i="56" l="1"/>
  <c r="L16" i="41" l="1"/>
  <c r="J25" i="56" l="1"/>
  <c r="I23" i="56"/>
  <c r="J23" i="56" s="1"/>
  <c r="I34" i="56" l="1"/>
  <c r="J34" i="56" s="1"/>
</calcChain>
</file>

<file path=xl/sharedStrings.xml><?xml version="1.0" encoding="utf-8"?>
<sst xmlns="http://schemas.openxmlformats.org/spreadsheetml/2006/main" count="1075" uniqueCount="576">
  <si>
    <t>区分</t>
    <rPh sb="0" eb="2">
      <t>クブン</t>
    </rPh>
    <phoneticPr fontId="7"/>
  </si>
  <si>
    <t>摘要</t>
    <rPh sb="0" eb="2">
      <t>テキヨウ</t>
    </rPh>
    <phoneticPr fontId="7"/>
  </si>
  <si>
    <t>単価（円）</t>
    <rPh sb="0" eb="2">
      <t>タンカ</t>
    </rPh>
    <rPh sb="3" eb="4">
      <t>エン</t>
    </rPh>
    <phoneticPr fontId="7"/>
  </si>
  <si>
    <t>数量</t>
    <rPh sb="0" eb="2">
      <t>スウリョウ</t>
    </rPh>
    <phoneticPr fontId="7"/>
  </si>
  <si>
    <t>単位</t>
    <rPh sb="0" eb="2">
      <t>タンイ</t>
    </rPh>
    <phoneticPr fontId="7"/>
  </si>
  <si>
    <t>金額（円）</t>
    <rPh sb="0" eb="2">
      <t>キンガク</t>
    </rPh>
    <rPh sb="3" eb="4">
      <t>エン</t>
    </rPh>
    <phoneticPr fontId="7"/>
  </si>
  <si>
    <t>備考</t>
    <rPh sb="0" eb="2">
      <t>ビコウ</t>
    </rPh>
    <phoneticPr fontId="7"/>
  </si>
  <si>
    <t>技術員</t>
    <rPh sb="0" eb="3">
      <t>ギジュツイン</t>
    </rPh>
    <phoneticPr fontId="7"/>
  </si>
  <si>
    <t>技師A</t>
    <rPh sb="0" eb="2">
      <t>ギシ</t>
    </rPh>
    <phoneticPr fontId="7"/>
  </si>
  <si>
    <t>技師C</t>
    <rPh sb="0" eb="2">
      <t>ギシ</t>
    </rPh>
    <phoneticPr fontId="7"/>
  </si>
  <si>
    <t>小計</t>
    <rPh sb="0" eb="2">
      <t>ショウケイ</t>
    </rPh>
    <phoneticPr fontId="7"/>
  </si>
  <si>
    <t>人日</t>
    <rPh sb="0" eb="1">
      <t>ニン</t>
    </rPh>
    <rPh sb="1" eb="2">
      <t>ニチ</t>
    </rPh>
    <phoneticPr fontId="7"/>
  </si>
  <si>
    <t>諸経費</t>
    <rPh sb="0" eb="3">
      <t>ショケイヒ</t>
    </rPh>
    <phoneticPr fontId="7"/>
  </si>
  <si>
    <t>消費税</t>
    <rPh sb="0" eb="3">
      <t>ショウヒゼイ</t>
    </rPh>
    <phoneticPr fontId="7"/>
  </si>
  <si>
    <t>率内か？</t>
    <rPh sb="0" eb="1">
      <t>リツ</t>
    </rPh>
    <rPh sb="1" eb="2">
      <t>ナイ</t>
    </rPh>
    <phoneticPr fontId="7"/>
  </si>
  <si>
    <t>諸経費率=</t>
    <rPh sb="0" eb="3">
      <t>ショケイヒ</t>
    </rPh>
    <rPh sb="3" eb="4">
      <t>リツ</t>
    </rPh>
    <phoneticPr fontId="7"/>
  </si>
  <si>
    <t>円</t>
    <rPh sb="0" eb="1">
      <t>エン</t>
    </rPh>
    <phoneticPr fontId="7"/>
  </si>
  <si>
    <t>純調査費</t>
    <rPh sb="0" eb="1">
      <t>ジュン</t>
    </rPh>
    <rPh sb="1" eb="4">
      <t>チョウサヒ</t>
    </rPh>
    <phoneticPr fontId="7"/>
  </si>
  <si>
    <t>右金額の範囲内</t>
    <rPh sb="0" eb="1">
      <t>ミギ</t>
    </rPh>
    <rPh sb="1" eb="3">
      <t>キンガク</t>
    </rPh>
    <rPh sb="4" eb="7">
      <t>ハンイナイ</t>
    </rPh>
    <phoneticPr fontId="7"/>
  </si>
  <si>
    <t>率</t>
    <rPh sb="0" eb="1">
      <t>リツ</t>
    </rPh>
    <phoneticPr fontId="7"/>
  </si>
  <si>
    <t>総計</t>
    <rPh sb="0" eb="2">
      <t>ソウケイ</t>
    </rPh>
    <phoneticPr fontId="7"/>
  </si>
  <si>
    <t>台</t>
    <rPh sb="0" eb="1">
      <t>ダイ</t>
    </rPh>
    <phoneticPr fontId="7"/>
  </si>
  <si>
    <t>回</t>
    <rPh sb="0" eb="1">
      <t>カイ</t>
    </rPh>
    <phoneticPr fontId="7"/>
  </si>
  <si>
    <t>事前調査</t>
    <rPh sb="0" eb="2">
      <t>ジゼン</t>
    </rPh>
    <rPh sb="2" eb="4">
      <t>チョウサ</t>
    </rPh>
    <phoneticPr fontId="7"/>
  </si>
  <si>
    <t>合計</t>
    <rPh sb="0" eb="2">
      <t>ゴウケイ</t>
    </rPh>
    <phoneticPr fontId="7"/>
  </si>
  <si>
    <t>諸雑費</t>
    <rPh sb="0" eb="3">
      <t>ショザッピ</t>
    </rPh>
    <phoneticPr fontId="7"/>
  </si>
  <si>
    <t>事業管理責任者</t>
    <rPh sb="0" eb="2">
      <t>ジギョウ</t>
    </rPh>
    <rPh sb="2" eb="4">
      <t>カンリ</t>
    </rPh>
    <rPh sb="4" eb="7">
      <t>セキニンシャ</t>
    </rPh>
    <phoneticPr fontId="7"/>
  </si>
  <si>
    <t>捕獲者</t>
    <rPh sb="0" eb="3">
      <t>ホカクシャ</t>
    </rPh>
    <phoneticPr fontId="7"/>
  </si>
  <si>
    <t>捕獲作業（銃）</t>
    <rPh sb="0" eb="2">
      <t>ホカク</t>
    </rPh>
    <rPh sb="2" eb="4">
      <t>サギョウ</t>
    </rPh>
    <rPh sb="5" eb="6">
      <t>ジュウ</t>
    </rPh>
    <phoneticPr fontId="7"/>
  </si>
  <si>
    <t>犬</t>
    <rPh sb="0" eb="1">
      <t>イヌ</t>
    </rPh>
    <phoneticPr fontId="7"/>
  </si>
  <si>
    <t>頭日</t>
    <rPh sb="0" eb="1">
      <t>トウ</t>
    </rPh>
    <rPh sb="1" eb="2">
      <t>ニチ</t>
    </rPh>
    <phoneticPr fontId="7"/>
  </si>
  <si>
    <t>％</t>
    <phoneticPr fontId="7"/>
  </si>
  <si>
    <t>変数値Ａ</t>
    <rPh sb="0" eb="2">
      <t>ヘンスウ</t>
    </rPh>
    <rPh sb="2" eb="3">
      <t>チ</t>
    </rPh>
    <phoneticPr fontId="7"/>
  </si>
  <si>
    <t>変数値ｂ</t>
    <rPh sb="0" eb="2">
      <t>ヘンスウ</t>
    </rPh>
    <rPh sb="2" eb="3">
      <t>チ</t>
    </rPh>
    <phoneticPr fontId="7"/>
  </si>
  <si>
    <t>人回</t>
    <rPh sb="0" eb="1">
      <t>ニン</t>
    </rPh>
    <rPh sb="1" eb="2">
      <t>カイ</t>
    </rPh>
    <phoneticPr fontId="7"/>
  </si>
  <si>
    <t>事前調査</t>
    <rPh sb="0" eb="2">
      <t>ジゼン</t>
    </rPh>
    <rPh sb="2" eb="4">
      <t>チョウサ</t>
    </rPh>
    <phoneticPr fontId="7"/>
  </si>
  <si>
    <t>項目</t>
    <rPh sb="0" eb="2">
      <t>コウモク</t>
    </rPh>
    <phoneticPr fontId="7"/>
  </si>
  <si>
    <t>純調査費（人件費＋直接経費）</t>
    <rPh sb="0" eb="1">
      <t>ジュン</t>
    </rPh>
    <rPh sb="1" eb="4">
      <t>チョウサヒ</t>
    </rPh>
    <rPh sb="5" eb="8">
      <t>ジンケンヒ</t>
    </rPh>
    <rPh sb="9" eb="11">
      <t>チョクセツ</t>
    </rPh>
    <rPh sb="11" eb="13">
      <t>ケイヒ</t>
    </rPh>
    <phoneticPr fontId="7"/>
  </si>
  <si>
    <t>項目ごとの経費</t>
    <rPh sb="0" eb="2">
      <t>コウモク</t>
    </rPh>
    <rPh sb="5" eb="7">
      <t>ケイヒ</t>
    </rPh>
    <phoneticPr fontId="7"/>
  </si>
  <si>
    <t>地元説明等
（現地確認含む）</t>
    <rPh sb="0" eb="2">
      <t>ジモト</t>
    </rPh>
    <rPh sb="2" eb="4">
      <t>セツメイ</t>
    </rPh>
    <rPh sb="4" eb="5">
      <t>ナド</t>
    </rPh>
    <rPh sb="9" eb="11">
      <t>カクニン</t>
    </rPh>
    <phoneticPr fontId="7"/>
  </si>
  <si>
    <t>調査項目</t>
    <rPh sb="0" eb="2">
      <t>チョウサ</t>
    </rPh>
    <rPh sb="2" eb="4">
      <t>コウモク</t>
    </rPh>
    <phoneticPr fontId="7"/>
  </si>
  <si>
    <t>移動経費</t>
    <rPh sb="0" eb="2">
      <t>イドウ</t>
    </rPh>
    <rPh sb="2" eb="4">
      <t>ケイヒ</t>
    </rPh>
    <phoneticPr fontId="7"/>
  </si>
  <si>
    <t>捕獲個体処分費</t>
    <rPh sb="0" eb="2">
      <t>ホカク</t>
    </rPh>
    <rPh sb="2" eb="4">
      <t>コタイ</t>
    </rPh>
    <rPh sb="4" eb="7">
      <t>ショブンヒ</t>
    </rPh>
    <phoneticPr fontId="7"/>
  </si>
  <si>
    <t>頭</t>
    <rPh sb="0" eb="1">
      <t>トウ</t>
    </rPh>
    <phoneticPr fontId="7"/>
  </si>
  <si>
    <t>【備考】</t>
    <rPh sb="1" eb="3">
      <t>ビコウ</t>
    </rPh>
    <phoneticPr fontId="7"/>
  </si>
  <si>
    <t>燃費</t>
    <rPh sb="0" eb="2">
      <t>ネンピ</t>
    </rPh>
    <phoneticPr fontId="7"/>
  </si>
  <si>
    <t>時速</t>
    <rPh sb="0" eb="2">
      <t>ジソク</t>
    </rPh>
    <phoneticPr fontId="7"/>
  </si>
  <si>
    <t>必要時間</t>
    <rPh sb="0" eb="2">
      <t>ヒツヨウ</t>
    </rPh>
    <rPh sb="2" eb="4">
      <t>ジカン</t>
    </rPh>
    <phoneticPr fontId="7"/>
  </si>
  <si>
    <t>㎞／㍑</t>
    <phoneticPr fontId="7"/>
  </si>
  <si>
    <t>㎞／h</t>
    <phoneticPr fontId="7"/>
  </si>
  <si>
    <t>h</t>
    <phoneticPr fontId="7"/>
  </si>
  <si>
    <t>経費（円）</t>
    <phoneticPr fontId="7"/>
  </si>
  <si>
    <t>機械損料</t>
    <rPh sb="0" eb="2">
      <t>キカイ</t>
    </rPh>
    <rPh sb="2" eb="4">
      <t>ソンリョウ</t>
    </rPh>
    <phoneticPr fontId="7"/>
  </si>
  <si>
    <t>合計（単価）</t>
    <rPh sb="0" eb="2">
      <t>ゴウケイ</t>
    </rPh>
    <rPh sb="3" eb="5">
      <t>タンカ</t>
    </rPh>
    <phoneticPr fontId="7"/>
  </si>
  <si>
    <t>捕獲作業（銃猟）</t>
    <rPh sb="5" eb="7">
      <t>ジュウリョウ</t>
    </rPh>
    <phoneticPr fontId="7"/>
  </si>
  <si>
    <t>銃弾</t>
    <rPh sb="0" eb="2">
      <t>ジュウダン</t>
    </rPh>
    <phoneticPr fontId="7"/>
  </si>
  <si>
    <t>◇銃猟</t>
    <rPh sb="1" eb="2">
      <t>ジュウ</t>
    </rPh>
    <rPh sb="2" eb="3">
      <t>リョウ</t>
    </rPh>
    <phoneticPr fontId="7"/>
  </si>
  <si>
    <t>移動経費単価の算出（銃猟）</t>
    <rPh sb="0" eb="2">
      <t>イドウ</t>
    </rPh>
    <rPh sb="2" eb="4">
      <t>ケイヒ</t>
    </rPh>
    <rPh sb="4" eb="6">
      <t>タンカ</t>
    </rPh>
    <rPh sb="7" eb="9">
      <t>サンシュツ</t>
    </rPh>
    <rPh sb="10" eb="12">
      <t>ジュウリョウ</t>
    </rPh>
    <phoneticPr fontId="7"/>
  </si>
  <si>
    <t>ガソリン</t>
    <phoneticPr fontId="7"/>
  </si>
  <si>
    <t>技術員</t>
    <rPh sb="0" eb="3">
      <t>ギジュツイン</t>
    </rPh>
    <phoneticPr fontId="7"/>
  </si>
  <si>
    <t>捕獲者（銃）</t>
    <rPh sb="0" eb="3">
      <t>ホカクシャ</t>
    </rPh>
    <rPh sb="4" eb="5">
      <t>ジュウ</t>
    </rPh>
    <phoneticPr fontId="7"/>
  </si>
  <si>
    <t>小計</t>
    <rPh sb="0" eb="2">
      <t>ショウケイ</t>
    </rPh>
    <phoneticPr fontId="7"/>
  </si>
  <si>
    <t>諸経費＋
消費税</t>
    <rPh sb="0" eb="3">
      <t>ショケイヒ</t>
    </rPh>
    <rPh sb="5" eb="8">
      <t>ショウヒゼイ</t>
    </rPh>
    <phoneticPr fontId="7"/>
  </si>
  <si>
    <t>指定管理鳥獣捕獲等事業（府事務費）</t>
    <rPh sb="0" eb="9">
      <t>シテイカンリチョウジュウホカクナド</t>
    </rPh>
    <rPh sb="12" eb="13">
      <t>フ</t>
    </rPh>
    <rPh sb="13" eb="16">
      <t>ジムヒ</t>
    </rPh>
    <phoneticPr fontId="7"/>
  </si>
  <si>
    <t>地元調整等</t>
    <rPh sb="0" eb="2">
      <t>ジモト</t>
    </rPh>
    <rPh sb="2" eb="4">
      <t>チョウセイ</t>
    </rPh>
    <rPh sb="4" eb="5">
      <t>ナド</t>
    </rPh>
    <phoneticPr fontId="7"/>
  </si>
  <si>
    <t>箱</t>
    <rPh sb="0" eb="1">
      <t>ハコ</t>
    </rPh>
    <phoneticPr fontId="7"/>
  </si>
  <si>
    <t>式</t>
    <rPh sb="0" eb="1">
      <t>シキ</t>
    </rPh>
    <phoneticPr fontId="7"/>
  </si>
  <si>
    <t>交通費、地元説明費用</t>
    <rPh sb="0" eb="3">
      <t>コウツウヒ</t>
    </rPh>
    <rPh sb="4" eb="6">
      <t>ジモト</t>
    </rPh>
    <rPh sb="6" eb="8">
      <t>セツメイ</t>
    </rPh>
    <rPh sb="8" eb="10">
      <t>ヒヨウ</t>
    </rPh>
    <phoneticPr fontId="7"/>
  </si>
  <si>
    <t>人</t>
    <rPh sb="0" eb="1">
      <t>ニン</t>
    </rPh>
    <phoneticPr fontId="7"/>
  </si>
  <si>
    <t>テキスト代</t>
    <rPh sb="4" eb="5">
      <t>ダイ</t>
    </rPh>
    <phoneticPr fontId="7"/>
  </si>
  <si>
    <t>会場使用料</t>
    <rPh sb="0" eb="2">
      <t>カイジョウ</t>
    </rPh>
    <rPh sb="2" eb="5">
      <t>シヨウリョウ</t>
    </rPh>
    <phoneticPr fontId="7"/>
  </si>
  <si>
    <t>直接経費</t>
    <rPh sb="0" eb="2">
      <t>チョクセツ</t>
    </rPh>
    <rPh sb="2" eb="4">
      <t>ケイヒ</t>
    </rPh>
    <phoneticPr fontId="7"/>
  </si>
  <si>
    <t>指定管理鳥獣捕獲等事業実施計画策定等事業（委託）</t>
    <rPh sb="21" eb="23">
      <t>イタク</t>
    </rPh>
    <phoneticPr fontId="7"/>
  </si>
  <si>
    <t>技師Ｂ</t>
    <rPh sb="0" eb="2">
      <t>ギシ</t>
    </rPh>
    <phoneticPr fontId="7"/>
  </si>
  <si>
    <t>報告書作成</t>
    <rPh sb="0" eb="3">
      <t>ホウコクショ</t>
    </rPh>
    <rPh sb="3" eb="5">
      <t>サクセイ</t>
    </rPh>
    <phoneticPr fontId="7"/>
  </si>
  <si>
    <t>直接経費</t>
    <phoneticPr fontId="7"/>
  </si>
  <si>
    <t>台日</t>
    <rPh sb="0" eb="1">
      <t>ダイ</t>
    </rPh>
    <rPh sb="1" eb="2">
      <t>ニチ</t>
    </rPh>
    <phoneticPr fontId="7"/>
  </si>
  <si>
    <t>交通費（高速代）</t>
    <rPh sb="0" eb="3">
      <t>コウツウヒ</t>
    </rPh>
    <rPh sb="4" eb="7">
      <t>コウソクダイ</t>
    </rPh>
    <phoneticPr fontId="7"/>
  </si>
  <si>
    <t>往復</t>
    <rPh sb="0" eb="2">
      <t>オウフク</t>
    </rPh>
    <phoneticPr fontId="7"/>
  </si>
  <si>
    <t>燃料費</t>
    <rPh sb="0" eb="3">
      <t>ネンリョウヒ</t>
    </rPh>
    <phoneticPr fontId="7"/>
  </si>
  <si>
    <t>センサーカメラ調査</t>
    <rPh sb="7" eb="9">
      <t>チョウサ</t>
    </rPh>
    <phoneticPr fontId="7"/>
  </si>
  <si>
    <t>センサーカメラ・剥皮被害調査</t>
    <rPh sb="8" eb="9">
      <t>ハク</t>
    </rPh>
    <rPh sb="9" eb="10">
      <t>ヒ</t>
    </rPh>
    <rPh sb="10" eb="12">
      <t>ヒガイ</t>
    </rPh>
    <rPh sb="12" eb="14">
      <t>チョウサ</t>
    </rPh>
    <phoneticPr fontId="7"/>
  </si>
  <si>
    <t>評価・策定資料、会議資料、報告書作成</t>
    <rPh sb="0" eb="2">
      <t>ヒョウカ</t>
    </rPh>
    <rPh sb="3" eb="5">
      <t>サクテイ</t>
    </rPh>
    <rPh sb="5" eb="7">
      <t>シリョウ</t>
    </rPh>
    <rPh sb="8" eb="10">
      <t>カイギ</t>
    </rPh>
    <rPh sb="10" eb="12">
      <t>シリョウ</t>
    </rPh>
    <rPh sb="13" eb="16">
      <t>ホウコクショ</t>
    </rPh>
    <rPh sb="16" eb="18">
      <t>サクセイ</t>
    </rPh>
    <phoneticPr fontId="7"/>
  </si>
  <si>
    <t>事前調査設計</t>
    <rPh sb="0" eb="2">
      <t>ジゼン</t>
    </rPh>
    <rPh sb="2" eb="4">
      <t>チョウサ</t>
    </rPh>
    <rPh sb="4" eb="6">
      <t>セッケイ</t>
    </rPh>
    <phoneticPr fontId="7"/>
  </si>
  <si>
    <t>センサーカメラ調査
剥皮被害調査</t>
    <rPh sb="7" eb="9">
      <t>チョウサ</t>
    </rPh>
    <rPh sb="10" eb="11">
      <t>ハク</t>
    </rPh>
    <rPh sb="11" eb="12">
      <t>ヒ</t>
    </rPh>
    <rPh sb="12" eb="14">
      <t>ヒガイ</t>
    </rPh>
    <rPh sb="14" eb="16">
      <t>チョウサ</t>
    </rPh>
    <phoneticPr fontId="7"/>
  </si>
  <si>
    <t>宿泊費</t>
    <rPh sb="0" eb="3">
      <t>シュクハクヒ</t>
    </rPh>
    <phoneticPr fontId="7"/>
  </si>
  <si>
    <t>車両借り上げ</t>
    <rPh sb="0" eb="2">
      <t>シャリョウ</t>
    </rPh>
    <rPh sb="2" eb="3">
      <t>カ</t>
    </rPh>
    <rPh sb="4" eb="5">
      <t>ア</t>
    </rPh>
    <phoneticPr fontId="7"/>
  </si>
  <si>
    <t>台日</t>
    <rPh sb="0" eb="2">
      <t>ダイニチ</t>
    </rPh>
    <phoneticPr fontId="7"/>
  </si>
  <si>
    <t>式</t>
    <rPh sb="0" eb="1">
      <t>シキ</t>
    </rPh>
    <phoneticPr fontId="7"/>
  </si>
  <si>
    <t>電池代</t>
    <rPh sb="0" eb="2">
      <t>デンチ</t>
    </rPh>
    <rPh sb="2" eb="3">
      <t>ダイ</t>
    </rPh>
    <phoneticPr fontId="7"/>
  </si>
  <si>
    <t>パソコン使用料</t>
    <rPh sb="4" eb="7">
      <t>シヨウリョウ</t>
    </rPh>
    <phoneticPr fontId="7"/>
  </si>
  <si>
    <t>GIS機器損料</t>
    <rPh sb="3" eb="5">
      <t>キキ</t>
    </rPh>
    <rPh sb="5" eb="7">
      <t>ソンリョウ</t>
    </rPh>
    <phoneticPr fontId="7"/>
  </si>
  <si>
    <t>センサーカメラ使用料</t>
    <rPh sb="7" eb="10">
      <t>シヨウリョウ</t>
    </rPh>
    <phoneticPr fontId="7"/>
  </si>
  <si>
    <t>業務無線使用料</t>
    <rPh sb="0" eb="2">
      <t>ギョウム</t>
    </rPh>
    <rPh sb="2" eb="4">
      <t>ムセン</t>
    </rPh>
    <rPh sb="4" eb="7">
      <t>シヨウリョウ</t>
    </rPh>
    <phoneticPr fontId="7"/>
  </si>
  <si>
    <t>ハンディGPS使用料</t>
    <rPh sb="7" eb="10">
      <t>シヨウリョウ</t>
    </rPh>
    <phoneticPr fontId="7"/>
  </si>
  <si>
    <t>台</t>
    <rPh sb="0" eb="1">
      <t>ダイ</t>
    </rPh>
    <phoneticPr fontId="7"/>
  </si>
  <si>
    <t>機械経費</t>
    <rPh sb="0" eb="2">
      <t>キカイ</t>
    </rPh>
    <rPh sb="2" eb="4">
      <t>ケイヒ</t>
    </rPh>
    <phoneticPr fontId="7"/>
  </si>
  <si>
    <t>直接調査費　小計</t>
    <rPh sb="0" eb="2">
      <t>チョクセツ</t>
    </rPh>
    <rPh sb="2" eb="4">
      <t>チョウサ</t>
    </rPh>
    <rPh sb="4" eb="5">
      <t>ヒ</t>
    </rPh>
    <rPh sb="6" eb="8">
      <t>ショウケイ</t>
    </rPh>
    <phoneticPr fontId="7"/>
  </si>
  <si>
    <t>間接調査費　小計</t>
    <rPh sb="0" eb="2">
      <t>カンセツ</t>
    </rPh>
    <rPh sb="2" eb="5">
      <t>チョウサヒ</t>
    </rPh>
    <rPh sb="6" eb="8">
      <t>ショウケイ</t>
    </rPh>
    <phoneticPr fontId="7"/>
  </si>
  <si>
    <t>雑費等</t>
    <rPh sb="0" eb="2">
      <t>ザッピ</t>
    </rPh>
    <rPh sb="2" eb="3">
      <t>トウ</t>
    </rPh>
    <phoneticPr fontId="7"/>
  </si>
  <si>
    <t>旅費交通費等</t>
    <rPh sb="0" eb="2">
      <t>リョヒ</t>
    </rPh>
    <rPh sb="2" eb="5">
      <t>コウツウヒ</t>
    </rPh>
    <rPh sb="5" eb="6">
      <t>トウ</t>
    </rPh>
    <phoneticPr fontId="7"/>
  </si>
  <si>
    <t>2名×4泊</t>
    <rPh sb="1" eb="2">
      <t>メイ</t>
    </rPh>
    <rPh sb="4" eb="5">
      <t>ハク</t>
    </rPh>
    <phoneticPr fontId="7"/>
  </si>
  <si>
    <t>純調査費（直接調査費＋間接調査費）</t>
    <rPh sb="0" eb="1">
      <t>ジュン</t>
    </rPh>
    <rPh sb="1" eb="4">
      <t>チョウサヒ</t>
    </rPh>
    <rPh sb="5" eb="7">
      <t>チョクセツ</t>
    </rPh>
    <rPh sb="7" eb="9">
      <t>チョウサ</t>
    </rPh>
    <rPh sb="9" eb="10">
      <t>ヒ</t>
    </rPh>
    <rPh sb="11" eb="13">
      <t>カンセツ</t>
    </rPh>
    <rPh sb="13" eb="15">
      <t>チョウサ</t>
    </rPh>
    <rPh sb="15" eb="16">
      <t>ヒ</t>
    </rPh>
    <phoneticPr fontId="7"/>
  </si>
  <si>
    <t>情報収集</t>
    <rPh sb="0" eb="2">
      <t>ジョウホウ</t>
    </rPh>
    <rPh sb="2" eb="4">
      <t>シュウシュウ</t>
    </rPh>
    <phoneticPr fontId="7"/>
  </si>
  <si>
    <t>人</t>
    <rPh sb="0" eb="1">
      <t>ニン</t>
    </rPh>
    <phoneticPr fontId="7"/>
  </si>
  <si>
    <t>東京</t>
    <rPh sb="0" eb="2">
      <t>トウキョウ</t>
    </rPh>
    <phoneticPr fontId="7"/>
  </si>
  <si>
    <t>L</t>
    <phoneticPr fontId="7"/>
  </si>
  <si>
    <t>捕獲・被害情報調査</t>
    <rPh sb="0" eb="2">
      <t>ホカク</t>
    </rPh>
    <rPh sb="3" eb="5">
      <t>ヒガイ</t>
    </rPh>
    <rPh sb="5" eb="7">
      <t>ジョウホウ</t>
    </rPh>
    <rPh sb="7" eb="9">
      <t>チョウサ</t>
    </rPh>
    <phoneticPr fontId="7"/>
  </si>
  <si>
    <t>保安員・記録、わな見回り</t>
    <rPh sb="0" eb="3">
      <t>ホアンイン</t>
    </rPh>
    <rPh sb="4" eb="6">
      <t>キロク</t>
    </rPh>
    <rPh sb="9" eb="11">
      <t>ミマワ</t>
    </rPh>
    <phoneticPr fontId="7"/>
  </si>
  <si>
    <t>諸経費（直接経費を除く）</t>
    <rPh sb="0" eb="3">
      <t>ショケイヒ</t>
    </rPh>
    <rPh sb="4" eb="6">
      <t>チョクセツ</t>
    </rPh>
    <rPh sb="6" eb="8">
      <t>ケイヒ</t>
    </rPh>
    <rPh sb="9" eb="10">
      <t>ノゾ</t>
    </rPh>
    <phoneticPr fontId="7"/>
  </si>
  <si>
    <t>％</t>
    <phoneticPr fontId="7"/>
  </si>
  <si>
    <t>㎞（往復）</t>
    <rPh sb="2" eb="4">
      <t>オウフク</t>
    </rPh>
    <phoneticPr fontId="7"/>
  </si>
  <si>
    <t>㎞／㍑</t>
    <phoneticPr fontId="7"/>
  </si>
  <si>
    <t>㎞／h</t>
    <phoneticPr fontId="7"/>
  </si>
  <si>
    <t>h</t>
    <phoneticPr fontId="7"/>
  </si>
  <si>
    <t>経費（円）</t>
    <phoneticPr fontId="7"/>
  </si>
  <si>
    <t>ガソリン</t>
    <phoneticPr fontId="7"/>
  </si>
  <si>
    <t>わな架設の見回り km</t>
    <rPh sb="2" eb="4">
      <t>カセツ</t>
    </rPh>
    <rPh sb="5" eb="7">
      <t>ミマワ</t>
    </rPh>
    <phoneticPr fontId="7"/>
  </si>
  <si>
    <t>最大諸経費</t>
    <rPh sb="0" eb="2">
      <t>サイダイ</t>
    </rPh>
    <rPh sb="2" eb="5">
      <t>ショケイヒ</t>
    </rPh>
    <phoneticPr fontId="7"/>
  </si>
  <si>
    <t>上限過剰金</t>
    <rPh sb="0" eb="2">
      <t>ジョウゲン</t>
    </rPh>
    <rPh sb="2" eb="4">
      <t>カジョウ</t>
    </rPh>
    <rPh sb="4" eb="5">
      <t>キン</t>
    </rPh>
    <phoneticPr fontId="7"/>
  </si>
  <si>
    <t>市役所から距離</t>
    <rPh sb="0" eb="3">
      <t>シヤクショ</t>
    </rPh>
    <rPh sb="5" eb="7">
      <t>キョリ</t>
    </rPh>
    <phoneticPr fontId="7"/>
  </si>
  <si>
    <t>区割</t>
    <rPh sb="0" eb="2">
      <t>クワ</t>
    </rPh>
    <phoneticPr fontId="7"/>
  </si>
  <si>
    <t>(市役所からの往復距離×1.5)</t>
    <rPh sb="1" eb="2">
      <t>シ</t>
    </rPh>
    <rPh sb="7" eb="9">
      <t>オウフク</t>
    </rPh>
    <rPh sb="9" eb="11">
      <t>キョリ</t>
    </rPh>
    <phoneticPr fontId="7"/>
  </si>
  <si>
    <t>最大事業費</t>
    <rPh sb="0" eb="2">
      <t>サイダイ</t>
    </rPh>
    <rPh sb="2" eb="5">
      <t>ジギョウヒ</t>
    </rPh>
    <phoneticPr fontId="7"/>
  </si>
  <si>
    <t>効果的捕獲促進事業（府事務費）</t>
    <rPh sb="10" eb="11">
      <t>フ</t>
    </rPh>
    <rPh sb="11" eb="14">
      <t>ジムヒ</t>
    </rPh>
    <phoneticPr fontId="7"/>
  </si>
  <si>
    <t>指定管理鳥獣捕獲等事業実施計画策定等事業（府事務費）</t>
    <rPh sb="21" eb="22">
      <t>フ</t>
    </rPh>
    <rPh sb="22" eb="25">
      <t>ジムヒ</t>
    </rPh>
    <phoneticPr fontId="7"/>
  </si>
  <si>
    <t>効果的捕獲促進事業　積み上げ諸雑費（捕獲作業）</t>
    <rPh sb="0" eb="3">
      <t>コウカテキ</t>
    </rPh>
    <rPh sb="3" eb="5">
      <t>ホカク</t>
    </rPh>
    <rPh sb="5" eb="7">
      <t>ソクシン</t>
    </rPh>
    <rPh sb="7" eb="9">
      <t>ジギョウ</t>
    </rPh>
    <rPh sb="10" eb="11">
      <t>ツ</t>
    </rPh>
    <rPh sb="12" eb="13">
      <t>ア</t>
    </rPh>
    <rPh sb="14" eb="17">
      <t>ショザッピ</t>
    </rPh>
    <rPh sb="18" eb="20">
      <t>ホカク</t>
    </rPh>
    <rPh sb="20" eb="22">
      <t>サギョウ</t>
    </rPh>
    <phoneticPr fontId="7"/>
  </si>
  <si>
    <t>効果的捕獲促進事業</t>
    <rPh sb="0" eb="3">
      <t>コウカテキ</t>
    </rPh>
    <rPh sb="3" eb="5">
      <t>ホカク</t>
    </rPh>
    <rPh sb="5" eb="7">
      <t>ソクシン</t>
    </rPh>
    <rPh sb="7" eb="9">
      <t>ジギョウ</t>
    </rPh>
    <phoneticPr fontId="7"/>
  </si>
  <si>
    <t>現地調査</t>
    <rPh sb="0" eb="2">
      <t>ゲンチ</t>
    </rPh>
    <rPh sb="2" eb="4">
      <t>チョウサ</t>
    </rPh>
    <phoneticPr fontId="7"/>
  </si>
  <si>
    <t>情報調査</t>
    <rPh sb="0" eb="2">
      <t>ジョウホウ</t>
    </rPh>
    <rPh sb="2" eb="4">
      <t>チョウサ</t>
    </rPh>
    <phoneticPr fontId="7"/>
  </si>
  <si>
    <t>評価・報告書作成</t>
    <rPh sb="0" eb="2">
      <t>ヒョウカ</t>
    </rPh>
    <rPh sb="3" eb="6">
      <t>ホウコクショ</t>
    </rPh>
    <rPh sb="6" eb="8">
      <t>サクセイ</t>
    </rPh>
    <phoneticPr fontId="7"/>
  </si>
  <si>
    <t>10,000円未満切捨</t>
    <rPh sb="6" eb="7">
      <t>エン</t>
    </rPh>
    <rPh sb="7" eb="9">
      <t>ミマン</t>
    </rPh>
    <rPh sb="9" eb="10">
      <t>キリ</t>
    </rPh>
    <rPh sb="10" eb="11">
      <t>シャ</t>
    </rPh>
    <phoneticPr fontId="7"/>
  </si>
  <si>
    <t>10,000円未満切捨</t>
    <rPh sb="6" eb="7">
      <t>エン</t>
    </rPh>
    <rPh sb="7" eb="9">
      <t>ミマン</t>
    </rPh>
    <rPh sb="9" eb="10">
      <t>キ</t>
    </rPh>
    <rPh sb="10" eb="11">
      <t>ス</t>
    </rPh>
    <phoneticPr fontId="7"/>
  </si>
  <si>
    <t>総計</t>
    <rPh sb="0" eb="2">
      <t>ソウケイ</t>
    </rPh>
    <phoneticPr fontId="7"/>
  </si>
  <si>
    <r>
      <t>諸経費</t>
    </r>
    <r>
      <rPr>
        <sz val="9"/>
        <rFont val="ＭＳ Ｐゴシック"/>
        <family val="3"/>
        <charset val="128"/>
      </rPr>
      <t>(1,000円未満切捨）</t>
    </r>
    <rPh sb="0" eb="3">
      <t>ショケイヒ</t>
    </rPh>
    <phoneticPr fontId="7"/>
  </si>
  <si>
    <r>
      <t>合計</t>
    </r>
    <r>
      <rPr>
        <sz val="9"/>
        <rFont val="ＭＳ Ｐゴシック"/>
        <family val="3"/>
        <charset val="128"/>
      </rPr>
      <t>(10,000円未満切捨）</t>
    </r>
    <rPh sb="0" eb="2">
      <t>ゴウケイ</t>
    </rPh>
    <phoneticPr fontId="7"/>
  </si>
  <si>
    <t>消費税</t>
    <rPh sb="0" eb="3">
      <t>ショウヒゼイ</t>
    </rPh>
    <phoneticPr fontId="7"/>
  </si>
  <si>
    <t>旅費等</t>
    <rPh sb="0" eb="2">
      <t>リョヒ</t>
    </rPh>
    <rPh sb="2" eb="3">
      <t>トウ</t>
    </rPh>
    <phoneticPr fontId="7"/>
  </si>
  <si>
    <t>運搬費含む</t>
    <rPh sb="0" eb="3">
      <t>ウンパンヒ</t>
    </rPh>
    <rPh sb="3" eb="4">
      <t>フク</t>
    </rPh>
    <phoneticPr fontId="7"/>
  </si>
  <si>
    <t>7回</t>
    <rPh sb="1" eb="2">
      <t>カイ</t>
    </rPh>
    <phoneticPr fontId="7"/>
  </si>
  <si>
    <t>保安員・記録　(3人×7回）</t>
    <phoneticPr fontId="7"/>
  </si>
  <si>
    <t>6頭×7回</t>
    <rPh sb="1" eb="2">
      <t>トウ</t>
    </rPh>
    <rPh sb="4" eb="5">
      <t>カイ</t>
    </rPh>
    <phoneticPr fontId="7"/>
  </si>
  <si>
    <t>捕獲作業（わな）</t>
  </si>
  <si>
    <t>直接経費</t>
    <phoneticPr fontId="7"/>
  </si>
  <si>
    <t>捕獲作業（くくりわな）</t>
    <phoneticPr fontId="7"/>
  </si>
  <si>
    <t>事前調査2回×1台、打合せ・捕獲計画報告2回×1台、捕獲7回×6台（19人/4人+記録者1台=6台）</t>
    <rPh sb="0" eb="2">
      <t>ジゼン</t>
    </rPh>
    <rPh sb="2" eb="4">
      <t>チョウサ</t>
    </rPh>
    <rPh sb="5" eb="6">
      <t>カイ</t>
    </rPh>
    <rPh sb="8" eb="9">
      <t>ダイ</t>
    </rPh>
    <rPh sb="10" eb="12">
      <t>ウチアワ</t>
    </rPh>
    <rPh sb="14" eb="16">
      <t>ホカク</t>
    </rPh>
    <rPh sb="16" eb="18">
      <t>ケイカク</t>
    </rPh>
    <rPh sb="18" eb="20">
      <t>ホウコク</t>
    </rPh>
    <rPh sb="21" eb="22">
      <t>カイ</t>
    </rPh>
    <rPh sb="24" eb="25">
      <t>ダイ</t>
    </rPh>
    <rPh sb="26" eb="28">
      <t>ホカク</t>
    </rPh>
    <rPh sb="29" eb="30">
      <t>カイ</t>
    </rPh>
    <rPh sb="32" eb="33">
      <t>ダイ</t>
    </rPh>
    <rPh sb="36" eb="37">
      <t>ニン</t>
    </rPh>
    <rPh sb="39" eb="40">
      <t>ニン</t>
    </rPh>
    <rPh sb="41" eb="44">
      <t>キロクシャ</t>
    </rPh>
    <rPh sb="45" eb="46">
      <t>ダイ</t>
    </rPh>
    <rPh sb="48" eb="49">
      <t>ダイ</t>
    </rPh>
    <phoneticPr fontId="7"/>
  </si>
  <si>
    <t>技師Ｂ</t>
    <phoneticPr fontId="7"/>
  </si>
  <si>
    <t>ジビエ利用拡大のための狩猟捕獲支援</t>
    <rPh sb="3" eb="5">
      <t>リヨウ</t>
    </rPh>
    <rPh sb="5" eb="7">
      <t>カクダイ</t>
    </rPh>
    <rPh sb="11" eb="13">
      <t>シュリョウ</t>
    </rPh>
    <rPh sb="13" eb="15">
      <t>ホカク</t>
    </rPh>
    <rPh sb="15" eb="17">
      <t>シエン</t>
    </rPh>
    <phoneticPr fontId="7"/>
  </si>
  <si>
    <t>狩猟捕獲経費支援</t>
    <rPh sb="0" eb="2">
      <t>シュリョウ</t>
    </rPh>
    <rPh sb="2" eb="4">
      <t>ホカク</t>
    </rPh>
    <rPh sb="4" eb="6">
      <t>ケイヒ</t>
    </rPh>
    <rPh sb="6" eb="8">
      <t>シエン</t>
    </rPh>
    <phoneticPr fontId="7"/>
  </si>
  <si>
    <t>狩猟者への捕獲経費支払い</t>
    <rPh sb="0" eb="3">
      <t>シュリョウシャ</t>
    </rPh>
    <rPh sb="5" eb="7">
      <t>ホカク</t>
    </rPh>
    <rPh sb="7" eb="9">
      <t>ケイヒ</t>
    </rPh>
    <rPh sb="9" eb="11">
      <t>シハラ</t>
    </rPh>
    <phoneticPr fontId="7"/>
  </si>
  <si>
    <t>捕獲経費</t>
    <rPh sb="0" eb="2">
      <t>ホカク</t>
    </rPh>
    <rPh sb="2" eb="4">
      <t>ケイヒ</t>
    </rPh>
    <phoneticPr fontId="7"/>
  </si>
  <si>
    <t>狩猟者指導経費支援</t>
    <rPh sb="0" eb="3">
      <t>シュリョウシャ</t>
    </rPh>
    <rPh sb="3" eb="5">
      <t>シドウ</t>
    </rPh>
    <rPh sb="5" eb="7">
      <t>ケイヒ</t>
    </rPh>
    <rPh sb="7" eb="9">
      <t>シエン</t>
    </rPh>
    <phoneticPr fontId="7"/>
  </si>
  <si>
    <t>小計　①</t>
    <rPh sb="0" eb="2">
      <t>ショウケイ</t>
    </rPh>
    <phoneticPr fontId="7"/>
  </si>
  <si>
    <t>処理加工施設による狩猟者指導経費支援</t>
    <rPh sb="0" eb="2">
      <t>ショリ</t>
    </rPh>
    <rPh sb="2" eb="4">
      <t>カコウ</t>
    </rPh>
    <rPh sb="4" eb="6">
      <t>シセツ</t>
    </rPh>
    <rPh sb="9" eb="12">
      <t>シュリョウシャ</t>
    </rPh>
    <rPh sb="12" eb="14">
      <t>シドウ</t>
    </rPh>
    <rPh sb="14" eb="16">
      <t>ケイヒ</t>
    </rPh>
    <rPh sb="16" eb="18">
      <t>シエン</t>
    </rPh>
    <phoneticPr fontId="7"/>
  </si>
  <si>
    <t>狩猟者への搬入規則等説明会</t>
    <rPh sb="0" eb="3">
      <t>シュリョウシャ</t>
    </rPh>
    <rPh sb="5" eb="7">
      <t>ハンニュウ</t>
    </rPh>
    <rPh sb="7" eb="9">
      <t>キソク</t>
    </rPh>
    <rPh sb="9" eb="10">
      <t>ナド</t>
    </rPh>
    <rPh sb="10" eb="13">
      <t>セツメイカイ</t>
    </rPh>
    <phoneticPr fontId="7"/>
  </si>
  <si>
    <t>講習会開催</t>
    <rPh sb="0" eb="3">
      <t>コウシュウカイ</t>
    </rPh>
    <rPh sb="3" eb="5">
      <t>カイサイ</t>
    </rPh>
    <phoneticPr fontId="7"/>
  </si>
  <si>
    <t>小計　②</t>
    <rPh sb="0" eb="2">
      <t>ショウケイ</t>
    </rPh>
    <phoneticPr fontId="7"/>
  </si>
  <si>
    <t>消費税</t>
    <rPh sb="0" eb="3">
      <t>ショウヒゼイ</t>
    </rPh>
    <phoneticPr fontId="7"/>
  </si>
  <si>
    <t>総計</t>
    <rPh sb="0" eb="2">
      <t>ソウケイ</t>
    </rPh>
    <phoneticPr fontId="7"/>
  </si>
  <si>
    <t>ニホンジカ</t>
    <phoneticPr fontId="7"/>
  </si>
  <si>
    <t>イノシシ</t>
    <phoneticPr fontId="7"/>
  </si>
  <si>
    <t>４箇所</t>
    <rPh sb="1" eb="3">
      <t>カショ</t>
    </rPh>
    <phoneticPr fontId="7"/>
  </si>
  <si>
    <t>ニホンジカ　※税込み</t>
    <rPh sb="7" eb="9">
      <t>ゼイコ</t>
    </rPh>
    <phoneticPr fontId="7"/>
  </si>
  <si>
    <t>狩猟者への運搬等経費支払い</t>
    <rPh sb="0" eb="3">
      <t>シュリョウシャ</t>
    </rPh>
    <rPh sb="5" eb="7">
      <t>ウンパン</t>
    </rPh>
    <rPh sb="7" eb="8">
      <t>トウ</t>
    </rPh>
    <rPh sb="8" eb="10">
      <t>ケイヒ</t>
    </rPh>
    <rPh sb="10" eb="12">
      <t>シハラ</t>
    </rPh>
    <phoneticPr fontId="7"/>
  </si>
  <si>
    <t>運搬・処理等経費</t>
    <rPh sb="0" eb="2">
      <t>ウンパン</t>
    </rPh>
    <rPh sb="3" eb="5">
      <t>ショリ</t>
    </rPh>
    <rPh sb="5" eb="6">
      <t>トウ</t>
    </rPh>
    <rPh sb="6" eb="8">
      <t>ケイヒ</t>
    </rPh>
    <phoneticPr fontId="7"/>
  </si>
  <si>
    <t>ジビエ利用拡大のための狩猟捕獲支援（府事務費）</t>
    <rPh sb="18" eb="19">
      <t>フ</t>
    </rPh>
    <rPh sb="19" eb="22">
      <t>ジムヒ</t>
    </rPh>
    <phoneticPr fontId="7"/>
  </si>
  <si>
    <t>式</t>
    <rPh sb="0" eb="1">
      <t>シキ</t>
    </rPh>
    <phoneticPr fontId="7"/>
  </si>
  <si>
    <t>諸雑費</t>
  </si>
  <si>
    <t>純調査費（直接調査費＋間接調査費）の50.0％以内、1,000円未満切捨</t>
    <rPh sb="0" eb="1">
      <t>ジュン</t>
    </rPh>
    <rPh sb="1" eb="4">
      <t>チョウサヒ</t>
    </rPh>
    <rPh sb="5" eb="7">
      <t>チョクセツ</t>
    </rPh>
    <rPh sb="7" eb="9">
      <t>チョウサ</t>
    </rPh>
    <rPh sb="9" eb="10">
      <t>ヒ</t>
    </rPh>
    <rPh sb="11" eb="13">
      <t>カンセツ</t>
    </rPh>
    <rPh sb="13" eb="15">
      <t>チョウサ</t>
    </rPh>
    <rPh sb="15" eb="16">
      <t>ヒ</t>
    </rPh>
    <rPh sb="23" eb="25">
      <t>イナイ</t>
    </rPh>
    <rPh sb="31" eb="32">
      <t>エン</t>
    </rPh>
    <rPh sb="32" eb="34">
      <t>ミマン</t>
    </rPh>
    <rPh sb="34" eb="35">
      <t>キ</t>
    </rPh>
    <rPh sb="35" eb="36">
      <t>ス</t>
    </rPh>
    <phoneticPr fontId="7"/>
  </si>
  <si>
    <t>50%以内、1,000円未満切捨</t>
    <phoneticPr fontId="7"/>
  </si>
  <si>
    <t>50%以内，1,000円未満切捨</t>
    <rPh sb="11" eb="12">
      <t>エン</t>
    </rPh>
    <rPh sb="12" eb="14">
      <t>ミマン</t>
    </rPh>
    <rPh sb="14" eb="15">
      <t>キ</t>
    </rPh>
    <rPh sb="15" eb="16">
      <t>ス</t>
    </rPh>
    <phoneticPr fontId="7"/>
  </si>
  <si>
    <t>10,000円未満切捨</t>
  </si>
  <si>
    <t>小計②＋諸経費</t>
    <rPh sb="0" eb="2">
      <t>ショウケイ</t>
    </rPh>
    <rPh sb="4" eb="7">
      <t>ショケイヒ</t>
    </rPh>
    <phoneticPr fontId="7"/>
  </si>
  <si>
    <t>合計</t>
    <rPh sb="0" eb="2">
      <t>ゴウケイ</t>
    </rPh>
    <phoneticPr fontId="7"/>
  </si>
  <si>
    <t>説明会講師謝金</t>
    <rPh sb="0" eb="3">
      <t>セツメイカイ</t>
    </rPh>
    <rPh sb="3" eb="5">
      <t>コウシ</t>
    </rPh>
    <rPh sb="5" eb="7">
      <t>シャキン</t>
    </rPh>
    <phoneticPr fontId="7"/>
  </si>
  <si>
    <t>2名×5箇所</t>
    <rPh sb="1" eb="2">
      <t>メイ</t>
    </rPh>
    <rPh sb="4" eb="6">
      <t>カショ</t>
    </rPh>
    <phoneticPr fontId="7"/>
  </si>
  <si>
    <t>打合せ
技師A：１名×半日×４回
技師C：１名×半日×２回</t>
    <rPh sb="0" eb="2">
      <t>ウチアワ</t>
    </rPh>
    <rPh sb="4" eb="6">
      <t>ギシ</t>
    </rPh>
    <rPh sb="9" eb="10">
      <t>メイ</t>
    </rPh>
    <rPh sb="11" eb="12">
      <t>ハン</t>
    </rPh>
    <phoneticPr fontId="7"/>
  </si>
  <si>
    <t>出猟カレンダー・農業被害データから被害分布・被害状況等を分析
 評価（２カ所）</t>
    <rPh sb="0" eb="2">
      <t>シュツリョウ</t>
    </rPh>
    <rPh sb="8" eb="10">
      <t>ノウギョウ</t>
    </rPh>
    <rPh sb="10" eb="12">
      <t>ヒガイ</t>
    </rPh>
    <rPh sb="17" eb="19">
      <t>ヒガイ</t>
    </rPh>
    <rPh sb="19" eb="21">
      <t>ブンプ</t>
    </rPh>
    <rPh sb="22" eb="24">
      <t>ヒガイ</t>
    </rPh>
    <rPh sb="24" eb="26">
      <t>ジョウキョウ</t>
    </rPh>
    <rPh sb="26" eb="27">
      <t>トウ</t>
    </rPh>
    <rPh sb="28" eb="30">
      <t>ブンセキ</t>
    </rPh>
    <rPh sb="32" eb="34">
      <t>ヒョウカ</t>
    </rPh>
    <rPh sb="37" eb="38">
      <t>ショ</t>
    </rPh>
    <phoneticPr fontId="7"/>
  </si>
  <si>
    <t>54台×30日×１カ所、10台×30日×1カ所</t>
    <rPh sb="2" eb="3">
      <t>ダイ</t>
    </rPh>
    <rPh sb="6" eb="7">
      <t>ニチ</t>
    </rPh>
    <rPh sb="10" eb="11">
      <t>ショ</t>
    </rPh>
    <rPh sb="14" eb="15">
      <t>ダイ</t>
    </rPh>
    <rPh sb="18" eb="19">
      <t>ニチ</t>
    </rPh>
    <rPh sb="22" eb="23">
      <t>ショ</t>
    </rPh>
    <phoneticPr fontId="7"/>
  </si>
  <si>
    <t>往復200km×15台日、10km/L</t>
    <rPh sb="0" eb="2">
      <t>オウフク</t>
    </rPh>
    <rPh sb="10" eb="11">
      <t>ダイ</t>
    </rPh>
    <rPh sb="11" eb="12">
      <t>ニチ</t>
    </rPh>
    <phoneticPr fontId="7"/>
  </si>
  <si>
    <t>15台</t>
    <rPh sb="2" eb="3">
      <t>ダイ</t>
    </rPh>
    <phoneticPr fontId="7"/>
  </si>
  <si>
    <t>25台</t>
    <rPh sb="2" eb="3">
      <t>ダイ</t>
    </rPh>
    <phoneticPr fontId="7"/>
  </si>
  <si>
    <t>評価シート案作成・事業計画案作成（技師A３,技師B３)
評価会議出席・会議資料作成（技師A３,技師B２,技師C２）
報告書作成（技師A２,技師B１,技師C２)</t>
    <rPh sb="0" eb="2">
      <t>ヒョウカ</t>
    </rPh>
    <rPh sb="5" eb="6">
      <t>アン</t>
    </rPh>
    <rPh sb="6" eb="8">
      <t>サクセイ</t>
    </rPh>
    <rPh sb="17" eb="19">
      <t>ギシ</t>
    </rPh>
    <rPh sb="22" eb="24">
      <t>ギシ</t>
    </rPh>
    <rPh sb="28" eb="30">
      <t>ヒョウカ</t>
    </rPh>
    <rPh sb="30" eb="32">
      <t>カイギ</t>
    </rPh>
    <rPh sb="32" eb="34">
      <t>シュッセキ</t>
    </rPh>
    <rPh sb="35" eb="37">
      <t>カイギ</t>
    </rPh>
    <rPh sb="37" eb="39">
      <t>シリョウ</t>
    </rPh>
    <rPh sb="39" eb="41">
      <t>サクセイ</t>
    </rPh>
    <rPh sb="42" eb="44">
      <t>ギシ</t>
    </rPh>
    <rPh sb="47" eb="49">
      <t>ギシ</t>
    </rPh>
    <rPh sb="52" eb="54">
      <t>ギシ</t>
    </rPh>
    <rPh sb="58" eb="61">
      <t>ホウコクショ</t>
    </rPh>
    <rPh sb="61" eb="63">
      <t>サクセイ</t>
    </rPh>
    <rPh sb="64" eb="66">
      <t>ギシ</t>
    </rPh>
    <rPh sb="69" eb="71">
      <t>ギシ</t>
    </rPh>
    <rPh sb="74" eb="76">
      <t>ギシ</t>
    </rPh>
    <phoneticPr fontId="7"/>
  </si>
  <si>
    <t>令和４年度</t>
    <rPh sb="0" eb="2">
      <t>レイワ</t>
    </rPh>
    <rPh sb="3" eb="5">
      <t>ネンド</t>
    </rPh>
    <phoneticPr fontId="7"/>
  </si>
  <si>
    <t>捕獲（17人×7回）</t>
    <rPh sb="0" eb="2">
      <t>ホカク</t>
    </rPh>
    <rPh sb="5" eb="6">
      <t>ニン</t>
    </rPh>
    <rPh sb="8" eb="9">
      <t>カイ</t>
    </rPh>
    <phoneticPr fontId="7"/>
  </si>
  <si>
    <t>非鉛銅弾頭　１箱２０発×６箱＝１２０発</t>
    <rPh sb="0" eb="1">
      <t>ヒ</t>
    </rPh>
    <rPh sb="1" eb="2">
      <t>ナマリ</t>
    </rPh>
    <rPh sb="2" eb="3">
      <t>ドウ</t>
    </rPh>
    <rPh sb="3" eb="5">
      <t>ダントウ</t>
    </rPh>
    <rPh sb="7" eb="8">
      <t>ハコ</t>
    </rPh>
    <rPh sb="10" eb="11">
      <t>ハツ</t>
    </rPh>
    <rPh sb="13" eb="14">
      <t>ハコ</t>
    </rPh>
    <rPh sb="18" eb="19">
      <t>ハツ</t>
    </rPh>
    <phoneticPr fontId="7"/>
  </si>
  <si>
    <t>打合せ：半日×1人（技師A）
現地調査（立入・進入路、痕跡・聞取り調査等）：2日×2人（技師C）
捕獲計画報告：半日×1人（技師A）</t>
    <rPh sb="10" eb="12">
      <t>ギシ</t>
    </rPh>
    <rPh sb="44" eb="46">
      <t>ギシ</t>
    </rPh>
    <rPh sb="62" eb="64">
      <t>ギシ</t>
    </rPh>
    <phoneticPr fontId="7"/>
  </si>
  <si>
    <t>打合せ：半日×1人（技師A）
地元周知作業：0.25日×4人（技師C）
現地調査（立入・進入路、痕跡・聞取り調査等）：半日×1人×2回（技師C）
捕獲計画報告：半日×1人（技師A）</t>
    <rPh sb="0" eb="2">
      <t>ウチアワ</t>
    </rPh>
    <rPh sb="4" eb="6">
      <t>ハンニチ</t>
    </rPh>
    <rPh sb="8" eb="9">
      <t>ニン</t>
    </rPh>
    <rPh sb="10" eb="12">
      <t>ギシ</t>
    </rPh>
    <rPh sb="15" eb="17">
      <t>ジモト</t>
    </rPh>
    <rPh sb="17" eb="19">
      <t>シュウチ</t>
    </rPh>
    <rPh sb="19" eb="21">
      <t>サギョウ</t>
    </rPh>
    <rPh sb="26" eb="27">
      <t>ニチ</t>
    </rPh>
    <rPh sb="29" eb="30">
      <t>ニン</t>
    </rPh>
    <rPh sb="31" eb="33">
      <t>ギシ</t>
    </rPh>
    <rPh sb="36" eb="38">
      <t>ゲンチ</t>
    </rPh>
    <rPh sb="38" eb="40">
      <t>チョウサ</t>
    </rPh>
    <rPh sb="41" eb="42">
      <t>タ</t>
    </rPh>
    <rPh sb="42" eb="43">
      <t>イ</t>
    </rPh>
    <rPh sb="44" eb="47">
      <t>シンニュウロ</t>
    </rPh>
    <rPh sb="48" eb="50">
      <t>コンセキ</t>
    </rPh>
    <rPh sb="51" eb="52">
      <t>キ</t>
    </rPh>
    <rPh sb="52" eb="53">
      <t>ト</t>
    </rPh>
    <rPh sb="54" eb="56">
      <t>チョウサ</t>
    </rPh>
    <rPh sb="56" eb="57">
      <t>トウ</t>
    </rPh>
    <rPh sb="59" eb="60">
      <t>ハン</t>
    </rPh>
    <rPh sb="60" eb="61">
      <t>ニチ</t>
    </rPh>
    <rPh sb="66" eb="67">
      <t>カイ</t>
    </rPh>
    <rPh sb="68" eb="70">
      <t>ギシ</t>
    </rPh>
    <rPh sb="73" eb="75">
      <t>ホカク</t>
    </rPh>
    <rPh sb="75" eb="77">
      <t>ケイカク</t>
    </rPh>
    <rPh sb="77" eb="79">
      <t>ホウコク</t>
    </rPh>
    <rPh sb="80" eb="82">
      <t>ハンニチ</t>
    </rPh>
    <rPh sb="84" eb="85">
      <t>ニン</t>
    </rPh>
    <rPh sb="86" eb="88">
      <t>ギシ</t>
    </rPh>
    <phoneticPr fontId="7"/>
  </si>
  <si>
    <t>見回り25回×1台、設置・撤去・移設3回×1台</t>
    <rPh sb="0" eb="2">
      <t>ミマワ</t>
    </rPh>
    <rPh sb="5" eb="6">
      <t>カイ</t>
    </rPh>
    <rPh sb="8" eb="9">
      <t>ダイ</t>
    </rPh>
    <rPh sb="10" eb="12">
      <t>セッチ</t>
    </rPh>
    <rPh sb="13" eb="15">
      <t>テッキョ</t>
    </rPh>
    <rPh sb="16" eb="18">
      <t>イセツ</t>
    </rPh>
    <rPh sb="19" eb="20">
      <t>カイ</t>
    </rPh>
    <rPh sb="22" eb="23">
      <t>ダイ</t>
    </rPh>
    <phoneticPr fontId="7"/>
  </si>
  <si>
    <t>設置、移設（1日×2人×2回）、見回り（0.2人日×1人×25回）、撤去（1日×1人×1回）</t>
    <rPh sb="7" eb="8">
      <t>ニチ</t>
    </rPh>
    <rPh sb="44" eb="45">
      <t>カイ</t>
    </rPh>
    <phoneticPr fontId="7"/>
  </si>
  <si>
    <t>捕獲作業（わな）</t>
    <phoneticPr fontId="7"/>
  </si>
  <si>
    <t>指定管理鳥獣捕獲等業務（舞鶴市神崎周辺）　積み上げ諸雑費（捕獲作業）</t>
    <rPh sb="0" eb="2">
      <t>シテイ</t>
    </rPh>
    <rPh sb="2" eb="4">
      <t>カンリ</t>
    </rPh>
    <rPh sb="4" eb="6">
      <t>チョウジュウ</t>
    </rPh>
    <rPh sb="6" eb="8">
      <t>ホカク</t>
    </rPh>
    <rPh sb="8" eb="9">
      <t>トウ</t>
    </rPh>
    <rPh sb="9" eb="11">
      <t>ギョウム</t>
    </rPh>
    <rPh sb="12" eb="15">
      <t>マイヅルシ</t>
    </rPh>
    <rPh sb="15" eb="17">
      <t>カミサキ</t>
    </rPh>
    <rPh sb="17" eb="19">
      <t>シュウヘン</t>
    </rPh>
    <rPh sb="21" eb="22">
      <t>ツ</t>
    </rPh>
    <rPh sb="23" eb="24">
      <t>ア</t>
    </rPh>
    <rPh sb="25" eb="28">
      <t>ショザッピ</t>
    </rPh>
    <rPh sb="29" eb="31">
      <t>ホカク</t>
    </rPh>
    <rPh sb="31" eb="33">
      <t>サギョウ</t>
    </rPh>
    <phoneticPr fontId="7"/>
  </si>
  <si>
    <t>指定管理鳥獣捕獲等事業（捕獲_舞鶴市神崎周辺）</t>
    <rPh sb="0" eb="2">
      <t>シテイ</t>
    </rPh>
    <rPh sb="2" eb="4">
      <t>カンリ</t>
    </rPh>
    <rPh sb="4" eb="6">
      <t>チョウジュウ</t>
    </rPh>
    <rPh sb="6" eb="8">
      <t>ホカク</t>
    </rPh>
    <rPh sb="8" eb="9">
      <t>ナド</t>
    </rPh>
    <rPh sb="12" eb="14">
      <t>ホカク</t>
    </rPh>
    <rPh sb="15" eb="18">
      <t>マイヅルシ</t>
    </rPh>
    <rPh sb="18" eb="20">
      <t>カミサキ</t>
    </rPh>
    <rPh sb="20" eb="22">
      <t>シュウヘン</t>
    </rPh>
    <phoneticPr fontId="7"/>
  </si>
  <si>
    <t>令和５年度</t>
    <rPh sb="0" eb="2">
      <t>レイワ</t>
    </rPh>
    <rPh sb="3" eb="5">
      <t>ネンド</t>
    </rPh>
    <phoneticPr fontId="7"/>
  </si>
  <si>
    <t>舞鶴市</t>
    <rPh sb="0" eb="3">
      <t>マイヅルシ</t>
    </rPh>
    <phoneticPr fontId="7"/>
  </si>
  <si>
    <t>技師B</t>
    <rPh sb="0" eb="2">
      <t>ギシ</t>
    </rPh>
    <phoneticPr fontId="7"/>
  </si>
  <si>
    <t>京都府指定管理鳥獣捕獲等事業協議会</t>
  </si>
  <si>
    <t>京都府指定管理鳥獣捕獲等事業協議会</t>
    <rPh sb="0" eb="3">
      <t>キョウトフ</t>
    </rPh>
    <rPh sb="3" eb="5">
      <t>シテイ</t>
    </rPh>
    <rPh sb="5" eb="7">
      <t>カンリ</t>
    </rPh>
    <rPh sb="7" eb="8">
      <t>トリ</t>
    </rPh>
    <rPh sb="8" eb="9">
      <t>ケモノ</t>
    </rPh>
    <rPh sb="9" eb="11">
      <t>ホカク</t>
    </rPh>
    <rPh sb="11" eb="12">
      <t>トウ</t>
    </rPh>
    <rPh sb="12" eb="14">
      <t>ジギョウ</t>
    </rPh>
    <rPh sb="14" eb="16">
      <t>キョウギ</t>
    </rPh>
    <rPh sb="16" eb="17">
      <t>カイ</t>
    </rPh>
    <phoneticPr fontId="7"/>
  </si>
  <si>
    <r>
      <t>別記様式第１</t>
    </r>
    <r>
      <rPr>
        <sz val="11"/>
        <rFont val="Times New Roman"/>
        <family val="1"/>
      </rPr>
      <t xml:space="preserve"> </t>
    </r>
    <r>
      <rPr>
        <sz val="11"/>
        <rFont val="ＭＳ 明朝"/>
        <family val="1"/>
        <charset val="128"/>
      </rPr>
      <t>別添（実施主体：都道府県）</t>
    </r>
  </si>
  <si>
    <t>交付金事業計画</t>
  </si>
  <si>
    <r>
      <t xml:space="preserve">                                                                                                              </t>
    </r>
    <r>
      <rPr>
        <sz val="11"/>
        <rFont val="ＭＳ 明朝"/>
        <family val="1"/>
        <charset val="128"/>
      </rPr>
      <t>都道府県名：京都府　　</t>
    </r>
  </si>
  <si>
    <t>第１　事業概要</t>
  </si>
  <si>
    <r>
      <t xml:space="preserve">  </t>
    </r>
    <r>
      <rPr>
        <sz val="11"/>
        <rFont val="ＭＳ 明朝"/>
        <family val="1"/>
        <charset val="128"/>
      </rPr>
      <t>１　事業対象の指定管理鳥獣の種類、指定管理鳥獣捕獲等事業実施計画の策定状況</t>
    </r>
  </si>
  <si>
    <t>ニホンジカ</t>
  </si>
  <si>
    <t>令和５年８月（予定）</t>
  </si>
  <si>
    <t>イノシシ</t>
  </si>
  <si>
    <r>
      <t>令和</t>
    </r>
    <r>
      <rPr>
        <sz val="11"/>
        <rFont val="Times New Roman"/>
        <family val="1"/>
      </rPr>
      <t xml:space="preserve">   </t>
    </r>
    <r>
      <rPr>
        <sz val="11"/>
        <rFont val="ＭＳ 明朝"/>
        <family val="1"/>
        <charset val="128"/>
      </rPr>
      <t>年　　月</t>
    </r>
  </si>
  <si>
    <r>
      <t xml:space="preserve">       </t>
    </r>
    <r>
      <rPr>
        <sz val="9"/>
        <rFont val="ＭＳ 明朝"/>
        <family val="1"/>
        <charset val="128"/>
      </rPr>
      <t>注１：事業対象の指定管理鳥獣の名称を○で囲むこと。</t>
    </r>
  </si>
  <si>
    <t>注２：ニホンジカ又はイノシシの欄には、策定の年月又は予定年月のいずれかを記入すること。予定年月の場合は、年月の後に「（予定）」と記入すること。</t>
  </si>
  <si>
    <t xml:space="preserve">  </t>
  </si>
  <si>
    <r>
      <t xml:space="preserve">  </t>
    </r>
    <r>
      <rPr>
        <sz val="11"/>
        <rFont val="ＭＳ 明朝"/>
        <family val="1"/>
        <charset val="128"/>
      </rPr>
      <t>２　事業計画総括表</t>
    </r>
  </si>
  <si>
    <t>事業費（円）</t>
  </si>
  <si>
    <r>
      <t xml:space="preserve">              </t>
    </r>
    <r>
      <rPr>
        <sz val="11"/>
        <rFont val="ＭＳ 明朝"/>
        <family val="1"/>
        <charset val="128"/>
      </rPr>
      <t>負担区分（円）</t>
    </r>
  </si>
  <si>
    <t>事業概要</t>
  </si>
  <si>
    <t>交付金</t>
  </si>
  <si>
    <t>都道府県費</t>
  </si>
  <si>
    <t>その他</t>
  </si>
  <si>
    <t>交付割合</t>
  </si>
  <si>
    <t>備考</t>
  </si>
  <si>
    <t>ア　指定管理鳥獣捕獲等事業実施計画策定等事業</t>
  </si>
  <si>
    <r>
      <t>①</t>
    </r>
    <r>
      <rPr>
        <sz val="11"/>
        <rFont val="Times New Roman"/>
        <family val="1"/>
      </rPr>
      <t xml:space="preserve"> </t>
    </r>
    <r>
      <rPr>
        <sz val="11"/>
        <rFont val="ＭＳ 明朝"/>
        <family val="1"/>
        <charset val="128"/>
      </rPr>
      <t>実施計画の検討・策定</t>
    </r>
  </si>
  <si>
    <r>
      <t>②</t>
    </r>
    <r>
      <rPr>
        <sz val="11"/>
        <rFont val="Times New Roman"/>
        <family val="1"/>
      </rPr>
      <t xml:space="preserve"> </t>
    </r>
    <r>
      <rPr>
        <sz val="11"/>
        <rFont val="ＭＳ 明朝"/>
        <family val="1"/>
        <charset val="128"/>
      </rPr>
      <t>生息状況及び被害状況の調査</t>
    </r>
  </si>
  <si>
    <r>
      <t>③</t>
    </r>
    <r>
      <rPr>
        <sz val="11"/>
        <rFont val="Times New Roman"/>
        <family val="1"/>
      </rPr>
      <t xml:space="preserve"> </t>
    </r>
    <r>
      <rPr>
        <sz val="11"/>
        <rFont val="ＭＳ 明朝"/>
        <family val="1"/>
        <charset val="128"/>
      </rPr>
      <t>捕獲情報等の収集、整理、分析</t>
    </r>
  </si>
  <si>
    <r>
      <t>④</t>
    </r>
    <r>
      <rPr>
        <sz val="11"/>
        <rFont val="Times New Roman"/>
        <family val="1"/>
      </rPr>
      <t xml:space="preserve"> </t>
    </r>
    <r>
      <rPr>
        <sz val="11"/>
        <rFont val="ＭＳ 明朝"/>
        <family val="1"/>
        <charset val="128"/>
      </rPr>
      <t>事業の評価、検証</t>
    </r>
  </si>
  <si>
    <t>イ　指定管理鳥獣捕獲等事業</t>
  </si>
  <si>
    <t>1/2以内（原子力災害対策特別措置法に基づく出荷制限がある県及びイノシシ等への豚熱ウイルスの感染が確認された都道府県は2/3以内。ただし、対象となる指定管理鳥獣はイノシシに限る。）</t>
  </si>
  <si>
    <r>
      <t>①</t>
    </r>
    <r>
      <rPr>
        <sz val="11"/>
        <rFont val="Times New Roman"/>
        <family val="1"/>
      </rPr>
      <t xml:space="preserve"> </t>
    </r>
    <r>
      <rPr>
        <sz val="11"/>
        <rFont val="ＭＳ 明朝"/>
        <family val="1"/>
        <charset val="128"/>
      </rPr>
      <t>捕獲及び捕獲に付随する事項の実施</t>
    </r>
  </si>
  <si>
    <r>
      <t>②</t>
    </r>
    <r>
      <rPr>
        <sz val="11"/>
        <rFont val="Times New Roman"/>
        <family val="1"/>
      </rPr>
      <t xml:space="preserve"> </t>
    </r>
    <r>
      <rPr>
        <sz val="11"/>
        <rFont val="ＭＳ 明朝"/>
        <family val="1"/>
        <charset val="128"/>
      </rPr>
      <t>捕獲個体の搬出・処分</t>
    </r>
  </si>
  <si>
    <t>ウ　効果的捕獲促進事業</t>
  </si>
  <si>
    <t>①　効果的捕獲モデル・技術開発タイプ</t>
  </si>
  <si>
    <t>定額（①、②、③それぞれ10,000千円を上限とする）</t>
  </si>
  <si>
    <t>②　市町村連携タイプ</t>
  </si>
  <si>
    <t>③　広域連携タイプ</t>
  </si>
  <si>
    <t>エ　認定鳥獣捕獲等事業者等の育成</t>
  </si>
  <si>
    <r>
      <t>定額（2,000千円を上限とする定額、定額を超える事業費分は1</t>
    </r>
    <r>
      <rPr>
        <sz val="10"/>
        <rFont val="Times New Roman"/>
        <family val="1"/>
      </rPr>
      <t>/</t>
    </r>
    <r>
      <rPr>
        <sz val="10"/>
        <rFont val="ＭＳ 明朝"/>
        <family val="1"/>
        <charset val="128"/>
      </rPr>
      <t>2以内）</t>
    </r>
  </si>
  <si>
    <t>オ　ジビエ利用拡大を考慮した狩猟者の育成</t>
  </si>
  <si>
    <t>カ　ジビエ利用拡大等のための狩猟捕獲支援</t>
  </si>
  <si>
    <r>
      <t>定額（１頭９千円を上限とする定額（シカ、イノシシ各２頭目から対象）、処理加工施設１施設当たり</t>
    </r>
    <r>
      <rPr>
        <sz val="11"/>
        <rFont val="Times New Roman"/>
        <family val="1"/>
      </rPr>
      <t>2,000</t>
    </r>
    <r>
      <rPr>
        <sz val="11"/>
        <rFont val="ＭＳ 明朝"/>
        <family val="1"/>
        <charset val="128"/>
      </rPr>
      <t>千円を上限とする定額。</t>
    </r>
  </si>
  <si>
    <t>①　狩猟捕獲経費の支援</t>
  </si>
  <si>
    <r>
      <t>定額（１頭</t>
    </r>
    <r>
      <rPr>
        <sz val="11"/>
        <rFont val="Times New Roman"/>
        <family val="1"/>
      </rPr>
      <t>8</t>
    </r>
    <r>
      <rPr>
        <sz val="11"/>
        <rFont val="ＭＳ 明朝"/>
        <family val="1"/>
        <charset val="128"/>
      </rPr>
      <t>千円を上限とする定額）、処分施設等での処分に要する経費を定額とする。</t>
    </r>
  </si>
  <si>
    <r>
      <t>②</t>
    </r>
    <r>
      <rPr>
        <sz val="11"/>
        <rFont val="Times New Roman"/>
        <family val="1"/>
      </rPr>
      <t xml:space="preserve">  </t>
    </r>
    <r>
      <rPr>
        <sz val="11"/>
        <rFont val="ＭＳ 明朝"/>
        <family val="1"/>
        <charset val="128"/>
      </rPr>
      <t>処理加工施設による狩猟者指導・廃棄物処理等経費の支援</t>
    </r>
  </si>
  <si>
    <t>③　捕獲強化のための狩猟経費補助</t>
  </si>
  <si>
    <t>④　処分施設等による処分経費補助</t>
  </si>
  <si>
    <t>計</t>
  </si>
  <si>
    <r>
      <t xml:space="preserve"> </t>
    </r>
    <r>
      <rPr>
        <sz val="9"/>
        <rFont val="ＭＳ 明朝"/>
        <family val="1"/>
        <charset val="128"/>
      </rPr>
      <t>注１：各欄とも消費税及び地方消費税相当分を含んだ額を記入すること。</t>
    </r>
  </si>
  <si>
    <r>
      <t xml:space="preserve"> </t>
    </r>
    <r>
      <rPr>
        <sz val="9"/>
        <rFont val="ＭＳ 明朝"/>
        <family val="1"/>
        <charset val="128"/>
      </rPr>
      <t>注２：負担区分の「その他」の欄には、寄付その他収入を記入すること。</t>
    </r>
  </si>
  <si>
    <t>３　事業の実施期間</t>
  </si>
  <si>
    <t>　令和５年４月　～　令和６年３月</t>
  </si>
  <si>
    <t>４　第二種特定鳥獣管理計画における管理の目標の概要</t>
  </si>
  <si>
    <t>（１）指定管理鳥獣の生息、捕獲等の現状等</t>
  </si>
  <si>
    <t>・これまで顕著に増加傾向にあった密度指標は、令和元年度をピークに減少傾向にあり、生息頭数が減少し始めているのではないかと推察される。</t>
  </si>
  <si>
    <t>　しかし、依然として密度指標が高い状況にあるため、引き続き捕獲努力を継続して生息頭数の削減に努める必要がある。</t>
  </si>
  <si>
    <r>
      <t>・被害防止捕獲や狩猟捕獲に対する支援制度により捕獲頭数が増加しているものの、生息数を半減させるために設定した年間捕獲目標</t>
    </r>
    <r>
      <rPr>
        <sz val="11"/>
        <rFont val="Times New Roman"/>
        <family val="1"/>
      </rPr>
      <t xml:space="preserve"> 26,000</t>
    </r>
    <r>
      <rPr>
        <sz val="11"/>
        <rFont val="ＭＳ 明朝"/>
        <family val="1"/>
        <charset val="128"/>
      </rPr>
      <t>頭（メスジカ</t>
    </r>
    <r>
      <rPr>
        <sz val="11"/>
        <rFont val="Times New Roman"/>
        <family val="1"/>
      </rPr>
      <t>15,000</t>
    </r>
    <r>
      <rPr>
        <sz val="11"/>
        <rFont val="ＭＳ 明朝"/>
        <family val="1"/>
        <charset val="128"/>
      </rPr>
      <t>頭、オスジカ</t>
    </r>
    <r>
      <rPr>
        <sz val="11"/>
        <rFont val="Times New Roman"/>
        <family val="1"/>
      </rPr>
      <t>11,000</t>
    </r>
    <r>
      <rPr>
        <sz val="11"/>
        <rFont val="ＭＳ 明朝"/>
        <family val="1"/>
        <charset val="128"/>
      </rPr>
      <t>頭）を達成していない。</t>
    </r>
  </si>
  <si>
    <t>（２）管理目標（目標個体数）</t>
  </si>
  <si>
    <r>
      <t>・令和２年度の推定生息数（</t>
    </r>
    <r>
      <rPr>
        <sz val="11"/>
        <rFont val="Times New Roman"/>
        <family val="1"/>
      </rPr>
      <t>96,000</t>
    </r>
    <r>
      <rPr>
        <sz val="11"/>
        <rFont val="ＭＳ 明朝"/>
        <family val="1"/>
        <charset val="128"/>
      </rPr>
      <t>頭）を令和８年度に半減する。</t>
    </r>
  </si>
  <si>
    <r>
      <t xml:space="preserve">  </t>
    </r>
    <r>
      <rPr>
        <sz val="10"/>
        <rFont val="ＭＳ 明朝"/>
        <family val="1"/>
        <charset val="128"/>
      </rPr>
      <t>注：第二種特定鳥獣管理計画における管理の目標について、これまでの捕獲数や被害状況、生息数推定の結果等からニホンジカやイノシシがどういった生息状況（増　　加、横ばい、減少）となっており、今後、個体数を管理（又は半減）するための目標個体数等を記入すること。</t>
    </r>
  </si>
  <si>
    <t>　　（参考）目標生息数の達成に向けた捕獲頭数</t>
  </si>
  <si>
    <t xml:space="preserve">              </t>
  </si>
  <si>
    <t>鳥獣名</t>
  </si>
  <si>
    <t>推定生息数</t>
  </si>
  <si>
    <t>都道府県全体の年間捕獲目標頭数</t>
  </si>
  <si>
    <t>令和８年度</t>
  </si>
  <si>
    <t>（令和２年度）</t>
  </si>
  <si>
    <t>の目標生息数</t>
  </si>
  <si>
    <t>令和　年度</t>
  </si>
  <si>
    <r>
      <t>約</t>
    </r>
    <r>
      <rPr>
        <sz val="11"/>
        <rFont val="Times New Roman"/>
        <family val="1"/>
      </rPr>
      <t>96,000</t>
    </r>
    <r>
      <rPr>
        <sz val="11"/>
        <rFont val="ＭＳ 明朝"/>
        <family val="1"/>
        <charset val="128"/>
      </rPr>
      <t>頭</t>
    </r>
  </si>
  <si>
    <r>
      <t>ﾒｽ：</t>
    </r>
    <r>
      <rPr>
        <sz val="11"/>
        <rFont val="Times New Roman"/>
        <family val="1"/>
      </rPr>
      <t>15,000</t>
    </r>
    <r>
      <rPr>
        <sz val="11"/>
        <rFont val="ＭＳ 明朝"/>
        <family val="1"/>
        <charset val="128"/>
      </rPr>
      <t>頭</t>
    </r>
  </si>
  <si>
    <r>
      <t>約</t>
    </r>
    <r>
      <rPr>
        <sz val="11"/>
        <rFont val="Times New Roman"/>
        <family val="1"/>
      </rPr>
      <t>48,000</t>
    </r>
    <r>
      <rPr>
        <sz val="11"/>
        <rFont val="ＭＳ 明朝"/>
        <family val="1"/>
        <charset val="128"/>
      </rPr>
      <t>頭</t>
    </r>
  </si>
  <si>
    <r>
      <t>ｵｽ：</t>
    </r>
    <r>
      <rPr>
        <sz val="11"/>
        <rFont val="Times New Roman"/>
        <family val="1"/>
      </rPr>
      <t>11,000</t>
    </r>
    <r>
      <rPr>
        <sz val="11"/>
        <rFont val="ＭＳ 明朝"/>
        <family val="1"/>
        <charset val="128"/>
      </rPr>
      <t>頭</t>
    </r>
  </si>
  <si>
    <t>５　指定管理鳥獣捕獲等事業実施計画に定める指定管理鳥獣捕獲等事業の目標及び設定の考え方</t>
  </si>
  <si>
    <t>（１）目標（予定）</t>
  </si>
  <si>
    <t>　　舞鶴市神崎区域：１５頭、丹後由良区域：６５頭</t>
  </si>
  <si>
    <t>（２）目標設定の考え方</t>
  </si>
  <si>
    <t>実施区域における推定生息数の半減</t>
  </si>
  <si>
    <r>
      <t xml:space="preserve">  </t>
    </r>
    <r>
      <rPr>
        <sz val="10"/>
        <rFont val="ＭＳ 明朝"/>
        <family val="1"/>
        <charset val="128"/>
      </rPr>
      <t>注１：目標については、捕獲数等の具体的な数値を記入すること。</t>
    </r>
  </si>
  <si>
    <t>　注２：目標設定の考え方については、都道府県全体の計画捕獲数、国の他の事業、都道府県事業及び狩猟による捕獲数との関係も含めて記載すること。</t>
  </si>
  <si>
    <t>６　他の施策との調整・連携についての考え方</t>
  </si>
  <si>
    <t>農林水産省（鳥獣被害防止総合対策交付金）事業を活用した被害防止捕獲による捕獲経費支援、府事業による狩猟期間のシカ捕獲強化対策などの取り組みを実施しているにもかかわらず、生息密度が高い地域について指定管理鳥獣捕獲等事業を実施し、防除対策（防護柵の設置や生息地管理）とあわせて農林業被害の低減を目指すとともに、個体数削減による下層植生の保護等を図る。</t>
  </si>
  <si>
    <r>
      <t xml:space="preserve">  </t>
    </r>
    <r>
      <rPr>
        <sz val="11"/>
        <rFont val="ＭＳ 明朝"/>
        <family val="1"/>
        <charset val="128"/>
      </rPr>
      <t>注：鳥獣被害防止特別措置法第７条の３に基づく、指定管理鳥獣捕獲等事業と市町村の被害防止計画に基づく被害防止施策等の他の施策との連携等に　　ついて記入すること。</t>
    </r>
  </si>
  <si>
    <t>第２　事業の実施内容</t>
  </si>
  <si>
    <t>　１　指定管理鳥獣捕獲等事業の実施体制　</t>
  </si>
  <si>
    <t>・実施主体：京都府（農林水産部農村振興課・地方機関鳥獣担当）</t>
  </si>
  <si>
    <t>・実施方法：（捕獲・調査）認定鳥獣捕獲等事業者への委託</t>
  </si>
  <si>
    <r>
      <t>　　　　　　（</t>
    </r>
    <r>
      <rPr>
        <sz val="11"/>
        <rFont val="Times New Roman"/>
        <family val="1"/>
      </rPr>
      <t xml:space="preserve"> </t>
    </r>
    <r>
      <rPr>
        <sz val="11"/>
        <rFont val="ＭＳ 明朝"/>
        <family val="1"/>
        <charset val="128"/>
      </rPr>
      <t>地元調整</t>
    </r>
    <r>
      <rPr>
        <sz val="11"/>
        <rFont val="Times New Roman"/>
        <family val="1"/>
      </rPr>
      <t xml:space="preserve"> </t>
    </r>
    <r>
      <rPr>
        <sz val="11"/>
        <rFont val="ＭＳ 明朝"/>
        <family val="1"/>
        <charset val="128"/>
      </rPr>
      <t>）関係市を通じて地元自治体に連絡。代表者への説明会や地域住民への説明チラシ配布により、事業の周知を図る。</t>
    </r>
  </si>
  <si>
    <r>
      <t xml:space="preserve">  </t>
    </r>
    <r>
      <rPr>
        <sz val="11"/>
        <rFont val="ＭＳ 明朝"/>
        <family val="1"/>
        <charset val="128"/>
      </rPr>
      <t>注１：指定管理鳥獣捕獲等事業を実施するに当たって、都道府県における関係部局等を含めた実施体制について記入すること。</t>
    </r>
  </si>
  <si>
    <t>　注２：実施体制図等がある場合は、添付すること。</t>
  </si>
  <si>
    <t>　２　指定管理鳥獣捕獲等事業の実施区域及びその状況</t>
  </si>
  <si>
    <t>　　（指定管理鳥獣名：ニホンジカ）</t>
  </si>
  <si>
    <t>実施区域</t>
  </si>
  <si>
    <t>住所等</t>
  </si>
  <si>
    <t>実施区域の状況（地形、被害状況、区域の選定理由等）</t>
  </si>
  <si>
    <t>・本体事業：舞鶴市神崎区域</t>
  </si>
  <si>
    <t>・舞鶴市神崎区域（舞鶴市油江等）</t>
  </si>
  <si>
    <t>生息頭数が多いにもかかわらず、捕獲圧が低く、地元から捕獲要望が高い地域である。</t>
  </si>
  <si>
    <t>・市町村連携：丹後由良区域</t>
  </si>
  <si>
    <t>・丹後由良区域（宮津市石浦等、舞鶴市長谷等）</t>
  </si>
  <si>
    <r>
      <t xml:space="preserve"> </t>
    </r>
    <r>
      <rPr>
        <sz val="10"/>
        <rFont val="ＭＳ 明朝"/>
        <family val="1"/>
        <charset val="128"/>
      </rPr>
      <t>注１：指定管理鳥獣の種別に作成してください。</t>
    </r>
  </si>
  <si>
    <r>
      <t xml:space="preserve"> </t>
    </r>
    <r>
      <rPr>
        <sz val="10"/>
        <rFont val="ＭＳ 明朝"/>
        <family val="1"/>
        <charset val="128"/>
      </rPr>
      <t>注２：指定管理鳥獣捕獲等事業実施計画で定めた実施区域のうち交付金事業の対象とする実施区域について記入すること。実施区域が調整段階にある場合は、調整中　　　の区域について記入すること。</t>
    </r>
  </si>
  <si>
    <r>
      <t xml:space="preserve"> </t>
    </r>
    <r>
      <rPr>
        <sz val="10"/>
        <rFont val="ＭＳ 明朝"/>
        <family val="1"/>
        <charset val="128"/>
      </rPr>
      <t>注３：夜間銃猟を実施する場合は、それが分かるように記載すること。</t>
    </r>
  </si>
  <si>
    <t>３　詳細計画（ニホンジカ及びイノシシの両方を事業対象とする場合は、それぞれ分けて作成すること。）</t>
  </si>
  <si>
    <t>（１）指定管理鳥獣捕獲等事業実施計画策定等事業</t>
  </si>
  <si>
    <t>　　　ア　指定管理鳥獣捕獲等事業に係る実施計画の検討及び策定</t>
  </si>
  <si>
    <t>①　検討会等の開催</t>
  </si>
  <si>
    <t>検討会名</t>
  </si>
  <si>
    <t>開催時期</t>
  </si>
  <si>
    <t>開催回数</t>
  </si>
  <si>
    <t>参集範囲</t>
  </si>
  <si>
    <t>検討内容</t>
  </si>
  <si>
    <t>打合会議</t>
  </si>
  <si>
    <t>令和５年６月</t>
  </si>
  <si>
    <t>２回程度</t>
  </si>
  <si>
    <t>捕獲実施区域の市、府農村振興課・地方機関</t>
  </si>
  <si>
    <t>・事業実施時期等</t>
  </si>
  <si>
    <t>～令和５年８月</t>
  </si>
  <si>
    <t>・安全対策・地元への周知方法等</t>
  </si>
  <si>
    <r>
      <t xml:space="preserve"> </t>
    </r>
    <r>
      <rPr>
        <sz val="10"/>
        <rFont val="ＭＳ 明朝"/>
        <family val="1"/>
        <charset val="128"/>
      </rPr>
      <t>注：開催時期又は検討会の種類毎に記入すること。なお、専門家等にヒアリングを実施する場合もヒアリング内容を記入すること。</t>
    </r>
  </si>
  <si>
    <t>②　指定管理鳥獣捕獲等事業実施計画の策定又は変更の時期</t>
  </si>
  <si>
    <r>
      <t xml:space="preserve">          </t>
    </r>
    <r>
      <rPr>
        <sz val="11"/>
        <rFont val="ＭＳ 明朝"/>
        <family val="1"/>
        <charset val="128"/>
      </rPr>
      <t>令和　５年９月（策定又は変更）</t>
    </r>
  </si>
  <si>
    <r>
      <t xml:space="preserve"> </t>
    </r>
    <r>
      <rPr>
        <sz val="10"/>
        <rFont val="ＭＳ 明朝"/>
        <family val="1"/>
        <charset val="128"/>
      </rPr>
      <t>注：見直し又は策定予定時期を記入すること。（　　）内のどちらかに○をすること。</t>
    </r>
  </si>
  <si>
    <t>イ　指定管理鳥獣捕獲等事業実施計画の策定に必要な指定管理鳥獣の生息状況、被害状況等の調査</t>
  </si>
  <si>
    <t>実施時期</t>
  </si>
  <si>
    <t>委託先等</t>
  </si>
  <si>
    <t>調査内容</t>
  </si>
  <si>
    <t>令和５年４月</t>
  </si>
  <si>
    <t>認定事業体</t>
  </si>
  <si>
    <t>・生息状況調査（センサーカメラ調査による生息数推定、糞塊密度調査による密度指標算定）</t>
  </si>
  <si>
    <t>～９月</t>
  </si>
  <si>
    <t>（調査会社）</t>
  </si>
  <si>
    <t>・被害量調査及び解析</t>
  </si>
  <si>
    <r>
      <t xml:space="preserve"> </t>
    </r>
    <r>
      <rPr>
        <sz val="10"/>
        <rFont val="ＭＳ 明朝"/>
        <family val="1"/>
        <charset val="128"/>
      </rPr>
      <t>注：調査の実施時期、委託先等、種類、手法等について具体的に記入すること。</t>
    </r>
  </si>
  <si>
    <t>ウ　指定管理鳥獣の捕獲情報の収集、整理・分析</t>
  </si>
  <si>
    <t>捕獲情報の種類、分析手法、検討方法等</t>
  </si>
  <si>
    <t>令和５年７月</t>
  </si>
  <si>
    <t>直営</t>
  </si>
  <si>
    <t>狩猟メッシュごとに捕獲情報を整理</t>
  </si>
  <si>
    <t>～令和５年９月</t>
  </si>
  <si>
    <r>
      <t xml:space="preserve"> </t>
    </r>
    <r>
      <rPr>
        <sz val="10"/>
        <rFont val="ＭＳ 明朝"/>
        <family val="1"/>
        <charset val="128"/>
      </rPr>
      <t>注：実施時期、委託先等、収集する情報の種類、分析手法、検討方法等について具体的に記入すること。</t>
    </r>
  </si>
  <si>
    <t>エ　事業の評価・検証</t>
  </si>
  <si>
    <t>①　検討会の開催</t>
  </si>
  <si>
    <t>事業評価会議</t>
  </si>
  <si>
    <t>令和６年３月</t>
  </si>
  <si>
    <t>１回程度</t>
  </si>
  <si>
    <t>鳥獣保護管理プランナー等</t>
  </si>
  <si>
    <t>農村振興課</t>
  </si>
  <si>
    <t>捕獲効果の評価・報告</t>
  </si>
  <si>
    <t>　注１：開催時期別に検討内容等を記入すること。</t>
  </si>
  <si>
    <t>　注２：参集範囲には、専門的な知識や経験を有する第三者を入れること。</t>
  </si>
  <si>
    <t>②　事業の評価・検証</t>
  </si>
  <si>
    <t>評価・検証内容</t>
  </si>
  <si>
    <t>令和６年２月</t>
  </si>
  <si>
    <t>２カ年の捕獲を計画しているため、令和５年度は捕獲の進捗をとりまとめる。</t>
  </si>
  <si>
    <t>～令和６年３月</t>
  </si>
  <si>
    <t>令和６年度に、センサーカメラ調査を実施し、生息状況を把握する。</t>
  </si>
  <si>
    <t>　注：指定管理鳥獣捕獲等事業実施計画の目標の達成状況、第二種特定鳥獣管理計画の目標に対する寄与度、指定管理鳥獣捕獲等事業の効果及び妥当性、次年度の指　　　定管理鳥獣捕獲等事業実施計画の策定に向けて改善すべき事項に係る評価・検証方法等について具体的に記入すること。</t>
  </si>
  <si>
    <t>（２）指定管理鳥獣捕獲等事業</t>
  </si>
  <si>
    <r>
      <t xml:space="preserve">    </t>
    </r>
    <r>
      <rPr>
        <sz val="11"/>
        <rFont val="ＭＳ 明朝"/>
        <family val="1"/>
        <charset val="128"/>
      </rPr>
      <t>ア</t>
    </r>
    <r>
      <rPr>
        <sz val="11"/>
        <rFont val="Times New Roman"/>
        <family val="1"/>
      </rPr>
      <t xml:space="preserve">  </t>
    </r>
    <r>
      <rPr>
        <sz val="11"/>
        <rFont val="ＭＳ 明朝"/>
        <family val="1"/>
        <charset val="128"/>
      </rPr>
      <t>捕獲等の実施内容</t>
    </r>
  </si>
  <si>
    <t>実施地域</t>
  </si>
  <si>
    <t>捕獲目標</t>
  </si>
  <si>
    <t>委託先又は直営</t>
  </si>
  <si>
    <t>舞鶴市神崎地域</t>
  </si>
  <si>
    <r>
      <t>令和５年９月</t>
    </r>
    <r>
      <rPr>
        <sz val="11"/>
        <rFont val="Times New Roman"/>
        <family val="1"/>
      </rPr>
      <t xml:space="preserve"> </t>
    </r>
    <r>
      <rPr>
        <sz val="11"/>
        <rFont val="ＭＳ 明朝"/>
        <family val="1"/>
        <charset val="128"/>
      </rPr>
      <t>～</t>
    </r>
    <r>
      <rPr>
        <sz val="11"/>
        <rFont val="Times New Roman"/>
        <family val="1"/>
      </rPr>
      <t xml:space="preserve"> </t>
    </r>
    <r>
      <rPr>
        <sz val="11"/>
        <rFont val="ＭＳ 明朝"/>
        <family val="1"/>
        <charset val="128"/>
      </rPr>
      <t>令和６年２月</t>
    </r>
  </si>
  <si>
    <t>１５頭</t>
  </si>
  <si>
    <t>認定事業体に委託</t>
  </si>
  <si>
    <t>捕獲方法、搬出・処分方法</t>
  </si>
  <si>
    <t>捕獲に付随する取組等</t>
  </si>
  <si>
    <t>捕獲方法：わな</t>
  </si>
  <si>
    <t>・処分方法：原則、捕獲区域内で埋設</t>
  </si>
  <si>
    <r>
      <t xml:space="preserve"> </t>
    </r>
    <r>
      <rPr>
        <sz val="10"/>
        <rFont val="ＭＳ 明朝"/>
        <family val="1"/>
        <charset val="128"/>
      </rPr>
      <t>　注１：夜間銃猟及び捕獲個体の放置を実施する場合は、別紙１の「○○都道府県における夜間銃猟に関する計画」及び別紙２の「○○都道府県における捕獲個体の</t>
    </r>
  </si>
  <si>
    <r>
      <t>　　</t>
    </r>
    <r>
      <rPr>
        <sz val="10"/>
        <rFont val="Times New Roman"/>
        <family val="1"/>
      </rPr>
      <t xml:space="preserve"> </t>
    </r>
    <r>
      <rPr>
        <sz val="10"/>
        <rFont val="ＭＳ 明朝"/>
        <family val="1"/>
        <charset val="128"/>
      </rPr>
      <t>放置に関する計画」を添付すること。</t>
    </r>
  </si>
  <si>
    <t>注２：豚熱対策として防疫措置が図られた野生イノシシの捕獲を実施する場合は、捕獲の際に実施する具体的な防疫措置を「捕獲に付随する取組等」に記載すること。</t>
  </si>
  <si>
    <r>
      <t>　</t>
    </r>
    <r>
      <rPr>
        <sz val="11"/>
        <rFont val="Times New Roman"/>
        <family val="1"/>
      </rPr>
      <t xml:space="preserve"> </t>
    </r>
    <r>
      <rPr>
        <sz val="10"/>
        <rFont val="ＭＳ 明朝"/>
        <family val="1"/>
        <charset val="128"/>
      </rPr>
      <t>注３：実施地域の図面を添付すること。</t>
    </r>
  </si>
  <si>
    <t>　　イ　捕獲個体の食肉等への有効利用（実施する場合に記載）</t>
  </si>
  <si>
    <r>
      <t xml:space="preserve">  </t>
    </r>
    <r>
      <rPr>
        <sz val="11"/>
        <rFont val="ＭＳ 明朝"/>
        <family val="1"/>
        <charset val="128"/>
      </rPr>
      <t>注：捕獲個体を食肉等として有効利用する実施体制や方法等について記載すること。</t>
    </r>
  </si>
  <si>
    <t>（３）効果的捕獲促進事業</t>
  </si>
  <si>
    <t>　　ア　効果的捕獲モデル・技術開発タイプ</t>
  </si>
  <si>
    <r>
      <t xml:space="preserve">      </t>
    </r>
    <r>
      <rPr>
        <sz val="11"/>
        <rFont val="ＭＳ 明朝"/>
        <family val="1"/>
        <charset val="128"/>
      </rPr>
      <t>①　検討会の開催</t>
    </r>
  </si>
  <si>
    <t>令和　　年　　月</t>
  </si>
  <si>
    <t>②　新技術の地域実証</t>
  </si>
  <si>
    <t>実証技術名</t>
  </si>
  <si>
    <t>対象鳥獣</t>
  </si>
  <si>
    <t>地域実証の概要・実施体制</t>
  </si>
  <si>
    <t>③　技術開発の概要　　</t>
  </si>
  <si>
    <t>開発技術名</t>
  </si>
  <si>
    <t>開発技術の概要・実施体制</t>
  </si>
  <si>
    <t>④　地域実証の効果又は開発する技術の検証・評価方法</t>
  </si>
  <si>
    <t>　注：地域実証の効果測定に必要なデータ収集（調査項目、調査方法）、実証結果又は開発技術の分析・評価方法について記入すること。</t>
  </si>
  <si>
    <r>
      <t xml:space="preserve">      </t>
    </r>
    <r>
      <rPr>
        <sz val="11"/>
        <rFont val="ＭＳ 明朝"/>
        <family val="1"/>
        <charset val="128"/>
      </rPr>
      <t>⑤　地域実証又は開発する技術の普及方法</t>
    </r>
  </si>
  <si>
    <t>　注：地域実証又は開発した技術の普及方法について記入すること。</t>
  </si>
  <si>
    <t>　　イ　市町村連携タイプ</t>
  </si>
  <si>
    <t>１～２回</t>
  </si>
  <si>
    <t>府農村振興課・他地方機関、舞鶴市、宮津市</t>
  </si>
  <si>
    <t>事業実施内容、地元調整の役割分担について</t>
  </si>
  <si>
    <t>程度</t>
  </si>
  <si>
    <t>②　取組の概要</t>
  </si>
  <si>
    <t>府が事務局となり、事業実施箇所選定や事業実施箇所周辺の住民との連絡調整等、府のみでは対応が困難な事柄について両市の協力を得る。両市は、ニホンジカの密度が高いが、狩猟や被害防止捕獲といった既存の捕獲が進まない場所又は捕獲数が不十分な場所において、認定鳥獣捕獲等事業者等を活用する本事業で捕獲を進める。また、事業実施地域において事業後に必要な防除対策について地域を交えて検討し、実行できるよう支援する。</t>
  </si>
  <si>
    <t>　注１：既に規約の定めがある場合は、添付すること。</t>
  </si>
  <si>
    <t>③　捕獲効果の検証・評価の方法</t>
  </si>
  <si>
    <t>両市と連携して立ち上げた協議会において、府が委託して実施する捕獲効果検証業務についての助言を得る。また、府が委託して実施する捕獲効果検証・評価業務の結果について、当該協議会において報告する。また、当該地域の自治会長等地域の方々へ事業の結果を報告し、地域での被害感と齟齬がないか、齟齬があればその原因を検討し、今後の事業実施の一助とする。</t>
  </si>
  <si>
    <t>　　ウ　広域連携タイプ</t>
  </si>
  <si>
    <r>
      <t xml:space="preserve">   </t>
    </r>
    <r>
      <rPr>
        <sz val="11"/>
        <rFont val="ＭＳ 明朝"/>
        <family val="1"/>
        <charset val="128"/>
      </rPr>
      <t>　①</t>
    </r>
    <r>
      <rPr>
        <sz val="11"/>
        <rFont val="Times New Roman"/>
        <family val="1"/>
      </rPr>
      <t xml:space="preserve">  </t>
    </r>
    <r>
      <rPr>
        <sz val="11"/>
        <rFont val="ＭＳ 明朝"/>
        <family val="1"/>
        <charset val="128"/>
      </rPr>
      <t>捕獲等の実施内容</t>
    </r>
  </si>
  <si>
    <r>
      <t>令和　年　月</t>
    </r>
    <r>
      <rPr>
        <sz val="11"/>
        <rFont val="Times New Roman"/>
        <family val="1"/>
      </rPr>
      <t xml:space="preserve"> </t>
    </r>
    <r>
      <rPr>
        <sz val="11"/>
        <rFont val="ＭＳ 明朝"/>
        <family val="1"/>
        <charset val="128"/>
      </rPr>
      <t>～令和　年　　月</t>
    </r>
  </si>
  <si>
    <t>注１：実施地域は、広域連携を図る複数の都道府県及び地域を記載すること（例：○○地域、○○山（○○県側）等）。</t>
  </si>
  <si>
    <t>注２：実施地域ごとに、本事業で捕獲等を行う地域とその実施内容、他事業を活用し捕獲を行う地域がある場合は地域名と事業名及びその実施内容（概要）をそれぞれ記載すること。</t>
  </si>
  <si>
    <t>注３：実施地域の図面を添付すること。</t>
  </si>
  <si>
    <t>（４）認定鳥獣捕獲等事業者等の育成</t>
  </si>
  <si>
    <t>具体的な取組内容</t>
  </si>
  <si>
    <t>（５）ジビエ利用拡大を考慮した狩猟者の育成</t>
  </si>
  <si>
    <t xml:space="preserve"> </t>
  </si>
  <si>
    <t>（６）ジビエ利用拡大等のための狩猟捕獲支援</t>
  </si>
  <si>
    <r>
      <t xml:space="preserve"> </t>
    </r>
    <r>
      <rPr>
        <sz val="11"/>
        <rFont val="ＭＳ 明朝"/>
        <family val="1"/>
        <charset val="128"/>
      </rPr>
      <t>　</t>
    </r>
    <r>
      <rPr>
        <sz val="11"/>
        <rFont val="Times New Roman"/>
        <family val="1"/>
      </rPr>
      <t xml:space="preserve"> </t>
    </r>
    <r>
      <rPr>
        <sz val="11"/>
        <rFont val="ＭＳ 明朝"/>
        <family val="1"/>
        <charset val="128"/>
      </rPr>
      <t>ア　狩猟捕獲経費の支援　　</t>
    </r>
  </si>
  <si>
    <t>対象鳥獣及び支援する捕獲数</t>
  </si>
  <si>
    <t>狩猟による対象鳥獣の捕獲実績</t>
  </si>
  <si>
    <t>・対象鳥獣：ニホンジカ</t>
  </si>
  <si>
    <t>捕獲確認：処理加工施設へ依頼</t>
  </si>
  <si>
    <r>
      <t>H30</t>
    </r>
    <r>
      <rPr>
        <sz val="11"/>
        <rFont val="ＭＳ 明朝"/>
        <family val="1"/>
        <charset val="128"/>
      </rPr>
      <t>：</t>
    </r>
    <r>
      <rPr>
        <sz val="11"/>
        <rFont val="Times New Roman"/>
        <family val="1"/>
      </rPr>
      <t>7,353</t>
    </r>
    <r>
      <rPr>
        <sz val="11"/>
        <rFont val="ＭＳ 明朝"/>
        <family val="1"/>
        <charset val="128"/>
      </rPr>
      <t>頭、　</t>
    </r>
    <r>
      <rPr>
        <sz val="11"/>
        <rFont val="Times New Roman"/>
        <family val="1"/>
      </rPr>
      <t>R1</t>
    </r>
    <r>
      <rPr>
        <sz val="11"/>
        <rFont val="ＭＳ 明朝"/>
        <family val="1"/>
        <charset val="128"/>
      </rPr>
      <t>：</t>
    </r>
    <r>
      <rPr>
        <sz val="11"/>
        <rFont val="Times New Roman"/>
        <family val="1"/>
      </rPr>
      <t>7,738</t>
    </r>
    <r>
      <rPr>
        <sz val="11"/>
        <rFont val="ＭＳ 明朝"/>
        <family val="1"/>
        <charset val="128"/>
      </rPr>
      <t>頭</t>
    </r>
  </si>
  <si>
    <r>
      <t>・支援捕獲数：約</t>
    </r>
    <r>
      <rPr>
        <sz val="11"/>
        <rFont val="Times New Roman"/>
        <family val="1"/>
      </rPr>
      <t>500</t>
    </r>
    <r>
      <rPr>
        <sz val="11"/>
        <rFont val="ＭＳ 明朝"/>
        <family val="1"/>
        <charset val="128"/>
      </rPr>
      <t>頭</t>
    </r>
  </si>
  <si>
    <t>支払：委託</t>
  </si>
  <si>
    <r>
      <t>R2</t>
    </r>
    <r>
      <rPr>
        <sz val="11"/>
        <rFont val="ＭＳ 明朝"/>
        <family val="1"/>
        <charset val="128"/>
      </rPr>
      <t>：</t>
    </r>
    <r>
      <rPr>
        <sz val="11"/>
        <rFont val="Times New Roman"/>
        <family val="1"/>
      </rPr>
      <t>8,126</t>
    </r>
    <r>
      <rPr>
        <sz val="11"/>
        <rFont val="ＭＳ 明朝"/>
        <family val="1"/>
        <charset val="128"/>
      </rPr>
      <t>頭、</t>
    </r>
    <r>
      <rPr>
        <sz val="11"/>
        <rFont val="Times New Roman"/>
        <family val="1"/>
      </rPr>
      <t>R3</t>
    </r>
    <r>
      <rPr>
        <sz val="11"/>
        <rFont val="ＭＳ 明朝"/>
        <family val="1"/>
        <charset val="128"/>
      </rPr>
      <t>：</t>
    </r>
    <r>
      <rPr>
        <sz val="11"/>
        <rFont val="Times New Roman"/>
        <family val="1"/>
      </rPr>
      <t>7,978</t>
    </r>
    <r>
      <rPr>
        <sz val="11"/>
        <rFont val="ＭＳ 明朝"/>
        <family val="1"/>
        <charset val="128"/>
      </rPr>
      <t>頭</t>
    </r>
  </si>
  <si>
    <t>　注：狩猟による対象鳥獣の捕獲実績欄には、把握できている直近２か年の狩猟による捕獲実績を対象鳥獣別に記載する。</t>
  </si>
  <si>
    <t>　　イ　処理加工施設による狩猟者指導及び廃棄物処理経費等の支援</t>
  </si>
  <si>
    <t>取組内容</t>
  </si>
  <si>
    <t>委託先</t>
  </si>
  <si>
    <t>受け入れる捕獲個体数</t>
  </si>
  <si>
    <t>・狩猟者指導：チラシ作成・配布、研修会等</t>
  </si>
  <si>
    <t>処理加工施設</t>
  </si>
  <si>
    <r>
      <t>約</t>
    </r>
    <r>
      <rPr>
        <sz val="11"/>
        <rFont val="Times New Roman"/>
        <family val="1"/>
      </rPr>
      <t>746</t>
    </r>
    <r>
      <rPr>
        <sz val="11"/>
        <rFont val="ＭＳ 明朝"/>
        <family val="1"/>
        <charset val="128"/>
      </rPr>
      <t>頭（</t>
    </r>
    <r>
      <rPr>
        <sz val="11"/>
        <rFont val="Times New Roman"/>
        <family val="1"/>
      </rPr>
      <t>H28</t>
    </r>
    <r>
      <rPr>
        <sz val="11"/>
        <rFont val="ＭＳ 明朝"/>
        <family val="1"/>
        <charset val="128"/>
      </rPr>
      <t>実績）</t>
    </r>
  </si>
  <si>
    <t>　注：取組内容の欄には、施設へ捕獲個体の持ち込みを行う狩猟者への指導方法（講習会開催など）や廃棄物処理見込量等を記載する。</t>
  </si>
  <si>
    <t>ウ　捕獲強化のための狩猟捕獲経費補助</t>
  </si>
  <si>
    <t>注：狩猟による対象鳥獣の捕獲実績欄には、把握できている直近２か年の狩猟による捕獲実績を対象鳥獣別に記載する。</t>
  </si>
  <si>
    <t>　　エ　処分施設等による捕獲個体の処分経費等の支援</t>
  </si>
  <si>
    <t>処分する捕獲個体数</t>
  </si>
  <si>
    <t>注：取組内容の欄には、処分場等へ捕獲個体の持ち込みを行うなどの処分方法（焼却・埋設等）及び処分見込量等を記載する。</t>
  </si>
  <si>
    <t>４　その他</t>
  </si>
  <si>
    <t>注１：交付金事業の実施に当たって、本事業で利用する施設等での再生可能エネルギーの利用や電気自動車の活用等、二酸化炭素排出量削減に資する取組を記載する。</t>
  </si>
  <si>
    <t>注２：その他（注１以外）に記載すべき事項がある場合は記載する。</t>
  </si>
  <si>
    <t>打合会議</t>
    <rPh sb="0" eb="2">
      <t>ウチア</t>
    </rPh>
    <rPh sb="2" eb="4">
      <t>カイギ</t>
    </rPh>
    <phoneticPr fontId="7"/>
  </si>
  <si>
    <t>旅費</t>
    <rPh sb="0" eb="2">
      <t>リョヒ</t>
    </rPh>
    <phoneticPr fontId="7"/>
  </si>
  <si>
    <t>狩猟捕獲経費支援</t>
  </si>
  <si>
    <t>令和５年度野生鳥獣（ニホンジカ）生息動態調査</t>
    <rPh sb="0" eb="2">
      <t>レイワ</t>
    </rPh>
    <rPh sb="3" eb="5">
      <t>ネンド</t>
    </rPh>
    <rPh sb="5" eb="7">
      <t>ヤセイ</t>
    </rPh>
    <rPh sb="7" eb="9">
      <t>チョウジュウ</t>
    </rPh>
    <rPh sb="16" eb="18">
      <t>セイソク</t>
    </rPh>
    <rPh sb="18" eb="20">
      <t>ドウタイ</t>
    </rPh>
    <rPh sb="20" eb="22">
      <t>チョウサ</t>
    </rPh>
    <phoneticPr fontId="7"/>
  </si>
  <si>
    <t>直接調査費</t>
    <rPh sb="0" eb="2">
      <t>チョクセツ</t>
    </rPh>
    <rPh sb="2" eb="5">
      <t>チョウサヒ</t>
    </rPh>
    <phoneticPr fontId="7"/>
  </si>
  <si>
    <t>糞塊密度調査</t>
    <rPh sb="0" eb="1">
      <t>フン</t>
    </rPh>
    <rPh sb="1" eb="2">
      <t>カイ</t>
    </rPh>
    <rPh sb="2" eb="4">
      <t>ミツド</t>
    </rPh>
    <rPh sb="4" eb="6">
      <t>チョウサ</t>
    </rPh>
    <phoneticPr fontId="7"/>
  </si>
  <si>
    <t>材料費・機械経費</t>
    <rPh sb="0" eb="3">
      <t>ザイリョウヒ</t>
    </rPh>
    <rPh sb="4" eb="6">
      <t>キカイ</t>
    </rPh>
    <rPh sb="6" eb="8">
      <t>ケイヒ</t>
    </rPh>
    <phoneticPr fontId="7"/>
  </si>
  <si>
    <t>糞塊密度調査</t>
    <rPh sb="0" eb="1">
      <t>フン</t>
    </rPh>
    <rPh sb="1" eb="2">
      <t>カタマリ</t>
    </rPh>
    <rPh sb="2" eb="4">
      <t>ミツド</t>
    </rPh>
    <rPh sb="4" eb="6">
      <t>チョウサ</t>
    </rPh>
    <phoneticPr fontId="7"/>
  </si>
  <si>
    <t>使用料等</t>
    <rPh sb="0" eb="3">
      <t>シヨウリョウ</t>
    </rPh>
    <rPh sb="3" eb="4">
      <t>トウ</t>
    </rPh>
    <phoneticPr fontId="7"/>
  </si>
  <si>
    <t>令和3年度（12月改定）</t>
    <rPh sb="0" eb="2">
      <t>レイワ</t>
    </rPh>
    <rPh sb="3" eb="5">
      <t>ネンド</t>
    </rPh>
    <rPh sb="8" eb="9">
      <t>ガツ</t>
    </rPh>
    <rPh sb="9" eb="11">
      <t>カイテイ</t>
    </rPh>
    <phoneticPr fontId="7"/>
  </si>
  <si>
    <t>直接経費
（成果品制作費）</t>
    <rPh sb="0" eb="2">
      <t>チョクセツ</t>
    </rPh>
    <rPh sb="2" eb="4">
      <t>ケイヒ</t>
    </rPh>
    <rPh sb="6" eb="8">
      <t>セイカ</t>
    </rPh>
    <rPh sb="8" eb="9">
      <t>ヒン</t>
    </rPh>
    <rPh sb="9" eb="12">
      <t>セイサクヒ</t>
    </rPh>
    <phoneticPr fontId="7"/>
  </si>
  <si>
    <t>間接調査費</t>
    <rPh sb="0" eb="2">
      <t>カンセツ</t>
    </rPh>
    <rPh sb="2" eb="5">
      <t>チョウサヒ</t>
    </rPh>
    <phoneticPr fontId="7"/>
  </si>
  <si>
    <t>旅費交通費</t>
    <rPh sb="0" eb="2">
      <t>リョヒ</t>
    </rPh>
    <rPh sb="2" eb="5">
      <t>コウツウヒ</t>
    </rPh>
    <phoneticPr fontId="7"/>
  </si>
  <si>
    <t>人件費＋直接経費</t>
    <rPh sb="0" eb="3">
      <t>ジンケンヒ</t>
    </rPh>
    <rPh sb="4" eb="6">
      <t>チョクセツ</t>
    </rPh>
    <rPh sb="6" eb="8">
      <t>ケイヒ</t>
    </rPh>
    <phoneticPr fontId="7"/>
  </si>
  <si>
    <t>50％以内、1,000円未満切捨</t>
    <rPh sb="3" eb="5">
      <t>イナイ</t>
    </rPh>
    <phoneticPr fontId="7"/>
  </si>
  <si>
    <t>人件費については、令和４年度(８月改訂版）土木工事単価資料による。</t>
    <rPh sb="9" eb="11">
      <t>レイワ</t>
    </rPh>
    <rPh sb="16" eb="17">
      <t>ガツ</t>
    </rPh>
    <rPh sb="17" eb="20">
      <t>カイテイバン</t>
    </rPh>
    <phoneticPr fontId="7"/>
  </si>
  <si>
    <t>諸経費については、治山林道必携（調査・測量・設計編）（令和４年版）を準用する。</t>
    <rPh sb="0" eb="3">
      <t>ショケイヒ</t>
    </rPh>
    <rPh sb="9" eb="11">
      <t>チサン</t>
    </rPh>
    <rPh sb="11" eb="13">
      <t>リンドウ</t>
    </rPh>
    <rPh sb="13" eb="15">
      <t>ヒッケイ</t>
    </rPh>
    <rPh sb="22" eb="24">
      <t>セッケイ</t>
    </rPh>
    <rPh sb="24" eb="25">
      <t>ヘン</t>
    </rPh>
    <rPh sb="27" eb="29">
      <t>レイワ</t>
    </rPh>
    <rPh sb="31" eb="32">
      <t>バン</t>
    </rPh>
    <rPh sb="34" eb="36">
      <t>ジュンヨウ</t>
    </rPh>
    <phoneticPr fontId="7"/>
  </si>
  <si>
    <t>50%上限</t>
    <rPh sb="3" eb="5">
      <t>ジョウゲン</t>
    </rPh>
    <phoneticPr fontId="7"/>
  </si>
  <si>
    <t>ﾊﾟｿｺﾝ使用料</t>
    <rPh sb="0" eb="8">
      <t>シヨウリョウ</t>
    </rPh>
    <phoneticPr fontId="7"/>
  </si>
  <si>
    <t>GIS使用料</t>
    <rPh sb="0" eb="6">
      <t>シヨウリョウ</t>
    </rPh>
    <phoneticPr fontId="7"/>
  </si>
  <si>
    <t>ハンディＧＰＳ使用料</t>
    <rPh sb="7" eb="10">
      <t>シヨウリョウ</t>
    </rPh>
    <phoneticPr fontId="7"/>
  </si>
  <si>
    <t>CSF対策費</t>
    <rPh sb="3" eb="5">
      <t>タイサク</t>
    </rPh>
    <rPh sb="5" eb="6">
      <t>ヒ</t>
    </rPh>
    <phoneticPr fontId="7"/>
  </si>
  <si>
    <t>計</t>
    <phoneticPr fontId="7"/>
  </si>
  <si>
    <t>※参考見積単価の０．５５</t>
    <phoneticPr fontId="7"/>
  </si>
  <si>
    <t>日当</t>
    <rPh sb="0" eb="2">
      <t>ニットウ</t>
    </rPh>
    <phoneticPr fontId="7"/>
  </si>
  <si>
    <t>日</t>
    <rPh sb="0" eb="1">
      <t>ヒ</t>
    </rPh>
    <phoneticPr fontId="7"/>
  </si>
  <si>
    <t>交通費（福知山）</t>
    <rPh sb="0" eb="3">
      <t>コウツウヒ</t>
    </rPh>
    <rPh sb="4" eb="7">
      <t>フクチヤマ</t>
    </rPh>
    <phoneticPr fontId="7"/>
  </si>
  <si>
    <t>京都～福知山：５台×往復×１回</t>
    <rPh sb="0" eb="2">
      <t>キョウト</t>
    </rPh>
    <rPh sb="2" eb="3">
      <t>ミヤキタ</t>
    </rPh>
    <rPh sb="3" eb="6">
      <t>フクチヤマ</t>
    </rPh>
    <rPh sb="8" eb="9">
      <t>ダイ</t>
    </rPh>
    <rPh sb="10" eb="12">
      <t>オウフク</t>
    </rPh>
    <rPh sb="14" eb="15">
      <t>カイ</t>
    </rPh>
    <phoneticPr fontId="7"/>
  </si>
  <si>
    <t>交通費（宇治田原）</t>
    <rPh sb="0" eb="3">
      <t>コウツウヒ</t>
    </rPh>
    <rPh sb="4" eb="8">
      <t>ウジタワラ</t>
    </rPh>
    <phoneticPr fontId="7"/>
  </si>
  <si>
    <t>京都～宇治田原：４台×往復×１回</t>
    <rPh sb="0" eb="2">
      <t>キョウト</t>
    </rPh>
    <rPh sb="2" eb="3">
      <t>ミヤキタ</t>
    </rPh>
    <rPh sb="3" eb="7">
      <t>ウジタワラ</t>
    </rPh>
    <rPh sb="9" eb="10">
      <t>ダイ</t>
    </rPh>
    <rPh sb="11" eb="13">
      <t>オウフク</t>
    </rPh>
    <rPh sb="15" eb="16">
      <t>カイ</t>
    </rPh>
    <phoneticPr fontId="7"/>
  </si>
  <si>
    <t>㍑</t>
    <phoneticPr fontId="7"/>
  </si>
  <si>
    <t xml:space="preserve">京都～宇治田原町：27km×往復÷14km/ℓ×４台回≒15ℓ
調査南部：15km÷14km/ℓ×往復×4台×2.5日≒21ℓ
</t>
    <rPh sb="0" eb="2">
      <t>キョウト</t>
    </rPh>
    <rPh sb="2" eb="3">
      <t>ミヤキタ</t>
    </rPh>
    <rPh sb="3" eb="8">
      <t>ウジタワラチョウ</t>
    </rPh>
    <rPh sb="25" eb="26">
      <t>ダイ</t>
    </rPh>
    <rPh sb="26" eb="27">
      <t>カイ</t>
    </rPh>
    <rPh sb="32" eb="34">
      <t>チョウサ</t>
    </rPh>
    <rPh sb="34" eb="36">
      <t>ナンブ</t>
    </rPh>
    <phoneticPr fontId="7"/>
  </si>
  <si>
    <t>車両損料</t>
    <rPh sb="0" eb="2">
      <t>シャリョウ</t>
    </rPh>
    <rPh sb="2" eb="4">
      <t>ソンリョウ</t>
    </rPh>
    <phoneticPr fontId="7"/>
  </si>
  <si>
    <t>通信費雑費</t>
    <rPh sb="0" eb="2">
      <t>ツウシン</t>
    </rPh>
    <rPh sb="2" eb="3">
      <t>ヒ</t>
    </rPh>
    <rPh sb="3" eb="5">
      <t>ザッピ</t>
    </rPh>
    <phoneticPr fontId="7"/>
  </si>
  <si>
    <t>事務費</t>
    <rPh sb="0" eb="3">
      <t>ジムヒ</t>
    </rPh>
    <phoneticPr fontId="7"/>
  </si>
  <si>
    <t>式</t>
    <rPh sb="0" eb="1">
      <t>シキ</t>
    </rPh>
    <phoneticPr fontId="7"/>
  </si>
  <si>
    <t>事務費等</t>
    <rPh sb="0" eb="4">
      <t>ジムヒトウ</t>
    </rPh>
    <phoneticPr fontId="7"/>
  </si>
  <si>
    <t>式</t>
    <rPh sb="0" eb="1">
      <t>シキ</t>
    </rPh>
    <phoneticPr fontId="7"/>
  </si>
  <si>
    <t>事務費</t>
    <rPh sb="0" eb="3">
      <t>ジムヒ</t>
    </rPh>
    <phoneticPr fontId="7"/>
  </si>
  <si>
    <t>舞鶴市</t>
    <rPh sb="0" eb="3">
      <t>マイヅルシ</t>
    </rPh>
    <phoneticPr fontId="7"/>
  </si>
  <si>
    <t>宮津市</t>
    <rPh sb="0" eb="3">
      <t>ミヤヅシ</t>
    </rPh>
    <phoneticPr fontId="7"/>
  </si>
  <si>
    <t>差額【計画申請事業費-積算合計】</t>
    <rPh sb="0" eb="2">
      <t>サガク</t>
    </rPh>
    <phoneticPr fontId="7"/>
  </si>
  <si>
    <t>諸経費率</t>
    <rPh sb="0" eb="3">
      <t>ショケイヒ</t>
    </rPh>
    <rPh sb="3" eb="4">
      <t>リツ</t>
    </rPh>
    <phoneticPr fontId="7"/>
  </si>
  <si>
    <t>備考</t>
    <rPh sb="0" eb="2">
      <t>ビコウ</t>
    </rPh>
    <phoneticPr fontId="7"/>
  </si>
  <si>
    <t>No.</t>
    <phoneticPr fontId="7"/>
  </si>
  <si>
    <t>P120-「令和５年度設計業務委託等技術者単価」抜粋／土木工事単価資料【土木工事編】【業務委託編】令和４年度（３月改訂版）</t>
    <rPh sb="6" eb="8">
      <t>レイワ</t>
    </rPh>
    <rPh sb="9" eb="11">
      <t>ネンド</t>
    </rPh>
    <rPh sb="11" eb="13">
      <t>セッケイ</t>
    </rPh>
    <rPh sb="13" eb="15">
      <t>ギョウム</t>
    </rPh>
    <rPh sb="15" eb="17">
      <t>イタク</t>
    </rPh>
    <rPh sb="17" eb="18">
      <t>トウ</t>
    </rPh>
    <rPh sb="18" eb="21">
      <t>ギジュツシャ</t>
    </rPh>
    <rPh sb="21" eb="23">
      <t>タンカ</t>
    </rPh>
    <rPh sb="24" eb="26">
      <t>バッスイ</t>
    </rPh>
    <rPh sb="27" eb="31">
      <t>ドボクコウジ</t>
    </rPh>
    <rPh sb="31" eb="35">
      <t>タンカシリョウ</t>
    </rPh>
    <rPh sb="36" eb="41">
      <t>ドボクコウジヘン</t>
    </rPh>
    <rPh sb="43" eb="45">
      <t>ギョウム</t>
    </rPh>
    <rPh sb="45" eb="47">
      <t>イタク</t>
    </rPh>
    <rPh sb="47" eb="48">
      <t>ヘン</t>
    </rPh>
    <phoneticPr fontId="7"/>
  </si>
  <si>
    <t>P20-「ガソリン（委託用）レギュラー／3-1 03)燃料類」抜粋／土木工事単価資料【土木工事編】【業務委託編】令和４年度（３月改訂版）</t>
    <rPh sb="10" eb="13">
      <t>イタクヨウ</t>
    </rPh>
    <rPh sb="27" eb="30">
      <t>ネンリョウルイ</t>
    </rPh>
    <phoneticPr fontId="7"/>
  </si>
  <si>
    <t>機械損料</t>
    <rPh sb="0" eb="4">
      <t>キカイソンリョウ</t>
    </rPh>
    <phoneticPr fontId="7"/>
  </si>
  <si>
    <t>単価（円）</t>
    <rPh sb="0" eb="2">
      <t>タンカ</t>
    </rPh>
    <rPh sb="3" eb="4">
      <t>エン</t>
    </rPh>
    <phoneticPr fontId="7"/>
  </si>
  <si>
    <t>円／時間</t>
    <rPh sb="0" eb="1">
      <t>エン</t>
    </rPh>
    <rPh sb="2" eb="4">
      <t>ジカン</t>
    </rPh>
    <phoneticPr fontId="7"/>
  </si>
  <si>
    <t>P321-「2022ライトバン／20 その他の機器／経費積算要領第２建設期間損料算定表」／令和４年度版治山林道必携積算・施工編【下巻】</t>
    <rPh sb="21" eb="22">
      <t>タ</t>
    </rPh>
    <rPh sb="23" eb="25">
      <t>キキ</t>
    </rPh>
    <rPh sb="26" eb="28">
      <t>ケイヒ</t>
    </rPh>
    <rPh sb="28" eb="30">
      <t>セキサン</t>
    </rPh>
    <rPh sb="30" eb="32">
      <t>ヨウリョウ</t>
    </rPh>
    <rPh sb="32" eb="33">
      <t>ダイ</t>
    </rPh>
    <rPh sb="34" eb="36">
      <t>ケンセツ</t>
    </rPh>
    <rPh sb="36" eb="38">
      <t>キカン</t>
    </rPh>
    <rPh sb="38" eb="40">
      <t>ソンリョウ</t>
    </rPh>
    <rPh sb="40" eb="42">
      <t>サンテイ</t>
    </rPh>
    <rPh sb="42" eb="43">
      <t>ヒョウ</t>
    </rPh>
    <rPh sb="45" eb="47">
      <t>レイワ</t>
    </rPh>
    <rPh sb="48" eb="51">
      <t>ネンドバン</t>
    </rPh>
    <rPh sb="51" eb="53">
      <t>チサン</t>
    </rPh>
    <rPh sb="53" eb="55">
      <t>リンドウ</t>
    </rPh>
    <rPh sb="55" eb="57">
      <t>ヒッケイ</t>
    </rPh>
    <rPh sb="57" eb="59">
      <t>セキサン</t>
    </rPh>
    <rPh sb="60" eb="63">
      <t>セコウヘン</t>
    </rPh>
    <rPh sb="64" eb="66">
      <t>ゲカン</t>
    </rPh>
    <phoneticPr fontId="7"/>
  </si>
  <si>
    <t>単位</t>
    <rPh sb="0" eb="2">
      <t>タンイ</t>
    </rPh>
    <phoneticPr fontId="7"/>
  </si>
  <si>
    <t>円／日</t>
    <rPh sb="0" eb="1">
      <t>エン</t>
    </rPh>
    <rPh sb="2" eb="3">
      <t>ニチ</t>
    </rPh>
    <phoneticPr fontId="7"/>
  </si>
  <si>
    <t>作業量</t>
    <rPh sb="0" eb="3">
      <t>サギョウリョウ</t>
    </rPh>
    <phoneticPr fontId="7"/>
  </si>
  <si>
    <t>人日</t>
    <rPh sb="0" eb="2">
      <t>ニンニチ</t>
    </rPh>
    <phoneticPr fontId="7"/>
  </si>
  <si>
    <t>円／L</t>
    <rPh sb="0" eb="1">
      <t>エン</t>
    </rPh>
    <phoneticPr fontId="7"/>
  </si>
  <si>
    <t>P33-「表１－１　諸経費率標準値／第１章地質調査積算基準」／令和４年度版治山林道必携　調査・測量・設計編</t>
    <rPh sb="5" eb="6">
      <t>ヒョウ</t>
    </rPh>
    <rPh sb="10" eb="14">
      <t>ショケイヒリツ</t>
    </rPh>
    <rPh sb="14" eb="17">
      <t>ヒョウジュンチ</t>
    </rPh>
    <rPh sb="18" eb="19">
      <t>ダイ</t>
    </rPh>
    <rPh sb="20" eb="21">
      <t>ショウ</t>
    </rPh>
    <rPh sb="21" eb="23">
      <t>チシツ</t>
    </rPh>
    <rPh sb="23" eb="25">
      <t>チョウサ</t>
    </rPh>
    <rPh sb="25" eb="27">
      <t>セキサン</t>
    </rPh>
    <rPh sb="27" eb="29">
      <t>キジュン</t>
    </rPh>
    <rPh sb="31" eb="33">
      <t>レイワ</t>
    </rPh>
    <rPh sb="34" eb="36">
      <t>ネンド</t>
    </rPh>
    <rPh sb="36" eb="37">
      <t>バン</t>
    </rPh>
    <rPh sb="37" eb="39">
      <t>チサン</t>
    </rPh>
    <rPh sb="39" eb="41">
      <t>リンドウ</t>
    </rPh>
    <rPh sb="41" eb="43">
      <t>ヒッケイ</t>
    </rPh>
    <rPh sb="44" eb="46">
      <t>チョウサ</t>
    </rPh>
    <rPh sb="47" eb="49">
      <t>ソクリョウ</t>
    </rPh>
    <rPh sb="50" eb="53">
      <t>セッケイヘン</t>
    </rPh>
    <phoneticPr fontId="7"/>
  </si>
  <si>
    <t>直接人件費※</t>
    <rPh sb="0" eb="2">
      <t>チョクセツ</t>
    </rPh>
    <rPh sb="2" eb="5">
      <t>ジンケンヒ</t>
    </rPh>
    <phoneticPr fontId="7"/>
  </si>
  <si>
    <t>P601-「鋼材／（３）仮設材の損料率　表２．１　土留、仮締切、築島、仮橋等の材料損料率／第８　仮施工」／令和４年度版治山林道必携　積算・施工編【上巻】</t>
    <rPh sb="6" eb="8">
      <t>コウザイ</t>
    </rPh>
    <rPh sb="12" eb="13">
      <t>カリ</t>
    </rPh>
    <rPh sb="13" eb="14">
      <t>セツ</t>
    </rPh>
    <rPh sb="14" eb="15">
      <t>ザイ</t>
    </rPh>
    <rPh sb="16" eb="19">
      <t>ソンリョウリツ</t>
    </rPh>
    <rPh sb="20" eb="21">
      <t>ヒョウ</t>
    </rPh>
    <rPh sb="25" eb="26">
      <t>ド</t>
    </rPh>
    <rPh sb="26" eb="27">
      <t>リュウ</t>
    </rPh>
    <rPh sb="28" eb="29">
      <t>カリ</t>
    </rPh>
    <rPh sb="29" eb="31">
      <t>シメキリ</t>
    </rPh>
    <rPh sb="32" eb="33">
      <t>チク</t>
    </rPh>
    <rPh sb="33" eb="34">
      <t>シマ</t>
    </rPh>
    <rPh sb="35" eb="36">
      <t>カリ</t>
    </rPh>
    <rPh sb="36" eb="37">
      <t>ハシ</t>
    </rPh>
    <rPh sb="37" eb="38">
      <t>トウ</t>
    </rPh>
    <rPh sb="39" eb="41">
      <t>ザイリョウ</t>
    </rPh>
    <rPh sb="41" eb="44">
      <t>ソンリョウリツ</t>
    </rPh>
    <rPh sb="45" eb="46">
      <t>ダイ</t>
    </rPh>
    <rPh sb="48" eb="49">
      <t>カリ</t>
    </rPh>
    <rPh sb="49" eb="51">
      <t>セコウ</t>
    </rPh>
    <rPh sb="53" eb="55">
      <t>レイワ</t>
    </rPh>
    <rPh sb="56" eb="59">
      <t>ネンドバン</t>
    </rPh>
    <rPh sb="59" eb="65">
      <t>チサンリンドウヒッケイ</t>
    </rPh>
    <rPh sb="66" eb="68">
      <t>セキサン</t>
    </rPh>
    <rPh sb="69" eb="72">
      <t>セコウヘン</t>
    </rPh>
    <rPh sb="73" eb="75">
      <t>ジョウカン</t>
    </rPh>
    <phoneticPr fontId="7"/>
  </si>
  <si>
    <t>鋼材損料率</t>
    <rPh sb="0" eb="2">
      <t>コウザイ</t>
    </rPh>
    <rPh sb="2" eb="4">
      <t>ソンリョウ</t>
    </rPh>
    <rPh sb="4" eb="5">
      <t>リツ</t>
    </rPh>
    <phoneticPr fontId="7"/>
  </si>
  <si>
    <t>％</t>
    <phoneticPr fontId="7"/>
  </si>
  <si>
    <t>銃損料※</t>
    <rPh sb="0" eb="1">
      <t>ジュウ</t>
    </rPh>
    <rPh sb="1" eb="3">
      <t>ソンリョウ</t>
    </rPh>
    <phoneticPr fontId="7"/>
  </si>
  <si>
    <t>純調査費（人件費＋直接経費）※</t>
    <rPh sb="0" eb="1">
      <t>ジュン</t>
    </rPh>
    <rPh sb="1" eb="4">
      <t>チョウサヒ</t>
    </rPh>
    <rPh sb="5" eb="8">
      <t>ジンケンヒ</t>
    </rPh>
    <rPh sb="9" eb="11">
      <t>チョクセツ</t>
    </rPh>
    <rPh sb="11" eb="13">
      <t>ケイヒ</t>
    </rPh>
    <phoneticPr fontId="7"/>
  </si>
  <si>
    <t>捕獲</t>
    <rPh sb="0" eb="2">
      <t>ホカク</t>
    </rPh>
    <phoneticPr fontId="7"/>
  </si>
  <si>
    <t>捕獲 ７回</t>
    <rPh sb="0" eb="2">
      <t>ホカク</t>
    </rPh>
    <rPh sb="4" eb="5">
      <t>カイ</t>
    </rPh>
    <phoneticPr fontId="7"/>
  </si>
  <si>
    <t>旅費</t>
    <rPh sb="0" eb="2">
      <t>リョヒ</t>
    </rPh>
    <phoneticPr fontId="7"/>
  </si>
  <si>
    <t>計算式</t>
    <rPh sb="0" eb="2">
      <t>ケイサン</t>
    </rPh>
    <rPh sb="2" eb="3">
      <t>シキ</t>
    </rPh>
    <phoneticPr fontId="7"/>
  </si>
  <si>
    <t>円</t>
    <rPh sb="0" eb="1">
      <t>エン</t>
    </rPh>
    <phoneticPr fontId="7"/>
  </si>
  <si>
    <t>補正金額</t>
    <rPh sb="0" eb="2">
      <t>ホセイ</t>
    </rPh>
    <rPh sb="2" eb="4">
      <t>キンガク</t>
    </rPh>
    <phoneticPr fontId="7"/>
  </si>
  <si>
    <t>人回</t>
    <rPh sb="0" eb="1">
      <t>ニン</t>
    </rPh>
    <rPh sb="1" eb="2">
      <t>カイ</t>
    </rPh>
    <phoneticPr fontId="7"/>
  </si>
  <si>
    <t>式</t>
    <rPh sb="0" eb="1">
      <t>シキ</t>
    </rPh>
    <phoneticPr fontId="7"/>
  </si>
  <si>
    <t>コピー代等</t>
    <rPh sb="3" eb="4">
      <t>ダイ</t>
    </rPh>
    <rPh sb="4" eb="5">
      <t>トウ</t>
    </rPh>
    <phoneticPr fontId="7"/>
  </si>
  <si>
    <t>諸雑費</t>
    <rPh sb="0" eb="3">
      <t>ショザッピ</t>
    </rPh>
    <phoneticPr fontId="7"/>
  </si>
  <si>
    <t>丸太町～福知山（往復）</t>
    <rPh sb="0" eb="3">
      <t>マルタマチ</t>
    </rPh>
    <rPh sb="4" eb="7">
      <t>フクチヤマ</t>
    </rPh>
    <rPh sb="8" eb="10">
      <t>オウフク</t>
    </rPh>
    <phoneticPr fontId="7"/>
  </si>
  <si>
    <t>丸太町～園部（往復）</t>
    <rPh sb="0" eb="3">
      <t>マルタマチ</t>
    </rPh>
    <rPh sb="4" eb="6">
      <t>ソノベ</t>
    </rPh>
    <rPh sb="7" eb="9">
      <t>オウフク</t>
    </rPh>
    <phoneticPr fontId="7"/>
  </si>
  <si>
    <t>丸太町～丹後神崎（往復）</t>
    <rPh sb="0" eb="3">
      <t>マルタマチ</t>
    </rPh>
    <rPh sb="4" eb="6">
      <t>タンゴ</t>
    </rPh>
    <rPh sb="6" eb="8">
      <t>カミサキ</t>
    </rPh>
    <rPh sb="9" eb="11">
      <t>オウフク</t>
    </rPh>
    <phoneticPr fontId="7"/>
  </si>
  <si>
    <t>丸太町～丹後神崎（往復）</t>
    <rPh sb="0" eb="3">
      <t>マルタマチ</t>
    </rPh>
    <rPh sb="4" eb="6">
      <t>タンゴ</t>
    </rPh>
    <rPh sb="6" eb="8">
      <t>カミサキ</t>
    </rPh>
    <rPh sb="9" eb="11">
      <t>オウフク</t>
    </rPh>
    <phoneticPr fontId="7"/>
  </si>
  <si>
    <t>人件費※</t>
    <rPh sb="0" eb="3">
      <t>ジンケンヒ</t>
    </rPh>
    <phoneticPr fontId="7"/>
  </si>
  <si>
    <t>くくりわな損料</t>
    <rPh sb="5" eb="7">
      <t>ソンリョウ</t>
    </rPh>
    <phoneticPr fontId="7"/>
  </si>
  <si>
    <t>P601-「表２．２　足場材、支保材、防護柵の材料損料率（注）１」／令和４年度版治山林道必携　積算・施工編【上巻】</t>
    <rPh sb="6" eb="7">
      <t>ヒョウ</t>
    </rPh>
    <rPh sb="11" eb="13">
      <t>アシバ</t>
    </rPh>
    <rPh sb="13" eb="14">
      <t>ザイ</t>
    </rPh>
    <rPh sb="15" eb="16">
      <t>ササ</t>
    </rPh>
    <rPh sb="16" eb="17">
      <t>ホ</t>
    </rPh>
    <rPh sb="17" eb="18">
      <t>ザイ</t>
    </rPh>
    <rPh sb="19" eb="22">
      <t>ボウゴサク</t>
    </rPh>
    <rPh sb="23" eb="25">
      <t>ザイリョウ</t>
    </rPh>
    <rPh sb="25" eb="28">
      <t>ソンリョウリツ</t>
    </rPh>
    <rPh sb="29" eb="30">
      <t>チュウ</t>
    </rPh>
    <phoneticPr fontId="7"/>
  </si>
  <si>
    <t>　　（くくりわな損料）表2.2(注)15％を引用。15%×(25日/30日)=12.5%</t>
    <rPh sb="11" eb="12">
      <t>ヒョウ</t>
    </rPh>
    <rPh sb="16" eb="17">
      <t>チュウ</t>
    </rPh>
    <rPh sb="22" eb="24">
      <t>インヨウ</t>
    </rPh>
    <rPh sb="32" eb="33">
      <t>ニチ</t>
    </rPh>
    <rPh sb="36" eb="37">
      <t>ニチ</t>
    </rPh>
    <phoneticPr fontId="7"/>
  </si>
  <si>
    <t>くくりわな損料※</t>
    <rPh sb="5" eb="7">
      <t>ソンリョウ</t>
    </rPh>
    <phoneticPr fontId="7"/>
  </si>
  <si>
    <t>西宮北IC～舞鶴大江：片道2,790円</t>
    <rPh sb="0" eb="2">
      <t>ニシノミヤ</t>
    </rPh>
    <rPh sb="2" eb="3">
      <t>キタ</t>
    </rPh>
    <rPh sb="6" eb="8">
      <t>マイヅル</t>
    </rPh>
    <rPh sb="8" eb="10">
      <t>オオエ</t>
    </rPh>
    <rPh sb="11" eb="13">
      <t>カタミチ</t>
    </rPh>
    <rPh sb="18" eb="19">
      <t>エン</t>
    </rPh>
    <phoneticPr fontId="7"/>
  </si>
  <si>
    <t>高速料金</t>
    <rPh sb="0" eb="4">
      <t>コウソクリョウキン</t>
    </rPh>
    <phoneticPr fontId="7"/>
  </si>
  <si>
    <t>西宮北IC～舞鶴大江：片道</t>
    <rPh sb="0" eb="2">
      <t>ニシノミヤ</t>
    </rPh>
    <rPh sb="2" eb="3">
      <t>キタ</t>
    </rPh>
    <rPh sb="6" eb="8">
      <t>マイヅル</t>
    </rPh>
    <rPh sb="8" eb="10">
      <t>オオエ</t>
    </rPh>
    <rPh sb="11" eb="13">
      <t>カタミチ</t>
    </rPh>
    <phoneticPr fontId="7"/>
  </si>
  <si>
    <t>わな猟375台日（15台×25日）
捕獲目標15頭</t>
    <rPh sb="2" eb="3">
      <t>リョウ</t>
    </rPh>
    <rPh sb="6" eb="7">
      <t>ダイ</t>
    </rPh>
    <rPh sb="7" eb="8">
      <t>ニチ</t>
    </rPh>
    <rPh sb="11" eb="12">
      <t>ダイ</t>
    </rPh>
    <rPh sb="15" eb="16">
      <t>ニチ</t>
    </rPh>
    <rPh sb="17" eb="19">
      <t>ホカク</t>
    </rPh>
    <rPh sb="19" eb="21">
      <t>モクヒョウ</t>
    </rPh>
    <rPh sb="24" eb="25">
      <t>トウ</t>
    </rPh>
    <phoneticPr fontId="7"/>
  </si>
  <si>
    <t>丸太町～東舞鶴（往復）→舞鶴市役所</t>
    <rPh sb="0" eb="3">
      <t>マルタマチ</t>
    </rPh>
    <rPh sb="4" eb="5">
      <t>ヒガシ</t>
    </rPh>
    <rPh sb="5" eb="7">
      <t>マイヅル</t>
    </rPh>
    <rPh sb="8" eb="10">
      <t>オウフク</t>
    </rPh>
    <rPh sb="12" eb="14">
      <t>マイヅル</t>
    </rPh>
    <rPh sb="14" eb="17">
      <t>シヤクショ</t>
    </rPh>
    <phoneticPr fontId="7"/>
  </si>
  <si>
    <t>丸太町～宮津（往復）→宮津市役所</t>
    <rPh sb="0" eb="3">
      <t>マルタマチ</t>
    </rPh>
    <rPh sb="4" eb="6">
      <t>ミヤヅ</t>
    </rPh>
    <rPh sb="7" eb="9">
      <t>オウフク</t>
    </rPh>
    <rPh sb="11" eb="13">
      <t>ミヤヅ</t>
    </rPh>
    <rPh sb="13" eb="16">
      <t>シヤクショ</t>
    </rPh>
    <phoneticPr fontId="7"/>
  </si>
  <si>
    <t>材料費・機械経費※</t>
    <rPh sb="0" eb="3">
      <t>ザイリョウヒ</t>
    </rPh>
    <rPh sb="4" eb="6">
      <t>キカイ</t>
    </rPh>
    <rPh sb="6" eb="8">
      <t>ケイヒ</t>
    </rPh>
    <phoneticPr fontId="7"/>
  </si>
  <si>
    <t>◇わな猟</t>
    <rPh sb="3" eb="4">
      <t>リョウ</t>
    </rPh>
    <phoneticPr fontId="7"/>
  </si>
  <si>
    <t>移動経費単価の算出</t>
    <rPh sb="0" eb="2">
      <t>イドウ</t>
    </rPh>
    <rPh sb="2" eb="4">
      <t>ケイヒ</t>
    </rPh>
    <rPh sb="4" eb="6">
      <t>タンカ</t>
    </rPh>
    <rPh sb="7" eb="9">
      <t>サンシュツ</t>
    </rPh>
    <phoneticPr fontId="7"/>
  </si>
  <si>
    <t>燃料※</t>
    <rPh sb="0" eb="2">
      <t>ネンリョウ</t>
    </rPh>
    <phoneticPr fontId="7"/>
  </si>
  <si>
    <t>機械損料／ｈ※</t>
    <rPh sb="0" eb="2">
      <t>キカイ</t>
    </rPh>
    <rPh sb="2" eb="4">
      <t>ソンリョウ</t>
    </rPh>
    <phoneticPr fontId="7"/>
  </si>
  <si>
    <t>式</t>
    <rPh sb="0" eb="1">
      <t>シキ</t>
    </rPh>
    <phoneticPr fontId="7"/>
  </si>
  <si>
    <t>直接調査費計</t>
    <rPh sb="0" eb="2">
      <t>チョクセツ</t>
    </rPh>
    <rPh sb="2" eb="5">
      <t>チョウサヒ</t>
    </rPh>
    <rPh sb="5" eb="6">
      <t>ケイ</t>
    </rPh>
    <phoneticPr fontId="7"/>
  </si>
  <si>
    <t>千円単位</t>
    <rPh sb="0" eb="2">
      <t>センエン</t>
    </rPh>
    <rPh sb="2" eb="4">
      <t>タンイ</t>
    </rPh>
    <phoneticPr fontId="7"/>
  </si>
  <si>
    <t>【実施内容】糞塊密度調査（38メッシュ）、報告書作成</t>
    <rPh sb="1" eb="3">
      <t>ジッシ</t>
    </rPh>
    <rPh sb="3" eb="5">
      <t>ナイヨウ</t>
    </rPh>
    <rPh sb="21" eb="24">
      <t>ホウコクショ</t>
    </rPh>
    <phoneticPr fontId="7"/>
  </si>
  <si>
    <t>電子成果品作成
諸経費対象外（対象経費 4.7×1,572,056＾0.38)</t>
    <rPh sb="0" eb="2">
      <t>デンシ</t>
    </rPh>
    <rPh sb="2" eb="4">
      <t>セイカ</t>
    </rPh>
    <rPh sb="4" eb="5">
      <t>ヒン</t>
    </rPh>
    <rPh sb="5" eb="7">
      <t>サクセイ</t>
    </rPh>
    <rPh sb="8" eb="11">
      <t>ショケイヒ</t>
    </rPh>
    <rPh sb="11" eb="14">
      <t>タイショウガイ</t>
    </rPh>
    <rPh sb="15" eb="17">
      <t>タイショウ</t>
    </rPh>
    <rPh sb="17" eb="19">
      <t>ケイヒ</t>
    </rPh>
    <phoneticPr fontId="7"/>
  </si>
  <si>
    <r>
      <rPr>
        <sz val="11"/>
        <rFont val="ＭＳ Ｐゴシック"/>
        <family val="3"/>
        <charset val="128"/>
      </rPr>
      <t>※１糞塊密度調査等に係る使用料等</t>
    </r>
    <r>
      <rPr>
        <sz val="11"/>
        <color theme="0"/>
        <rFont val="ＭＳ Ｐゴシック"/>
        <family val="3"/>
        <charset val="128"/>
      </rPr>
      <t>人件費の1.6％以内</t>
    </r>
    <rPh sb="16" eb="19">
      <t>ジンケンヒ</t>
    </rPh>
    <rPh sb="24" eb="26">
      <t>イナイ</t>
    </rPh>
    <phoneticPr fontId="7"/>
  </si>
  <si>
    <r>
      <rPr>
        <sz val="11"/>
        <rFont val="ＭＳ Ｐゴシック"/>
        <family val="3"/>
        <charset val="128"/>
      </rPr>
      <t>※２糞塊密度調査に係る旅費等</t>
    </r>
    <r>
      <rPr>
        <sz val="11"/>
        <color theme="0"/>
        <rFont val="ＭＳ Ｐゴシック"/>
        <family val="3"/>
        <charset val="128"/>
      </rPr>
      <t>人件費の30.2％以内</t>
    </r>
    <rPh sb="14" eb="17">
      <t>ジンケンヒ</t>
    </rPh>
    <rPh sb="23" eb="25">
      <t>イナイ</t>
    </rPh>
    <phoneticPr fontId="7"/>
  </si>
  <si>
    <t>※１糞塊密度調査等に係る使用料等</t>
    <rPh sb="2" eb="3">
      <t>フン</t>
    </rPh>
    <rPh sb="3" eb="4">
      <t>カタマリ</t>
    </rPh>
    <rPh sb="4" eb="6">
      <t>ミツド</t>
    </rPh>
    <rPh sb="6" eb="8">
      <t>チョウサ</t>
    </rPh>
    <rPh sb="8" eb="9">
      <t>トウ</t>
    </rPh>
    <rPh sb="10" eb="11">
      <t>カカ</t>
    </rPh>
    <rPh sb="12" eb="15">
      <t>シヨウリョウ</t>
    </rPh>
    <rPh sb="15" eb="16">
      <t>トウ</t>
    </rPh>
    <phoneticPr fontId="7"/>
  </si>
  <si>
    <t>※２糞塊密度調査に係る旅費等</t>
    <rPh sb="2" eb="3">
      <t>フン</t>
    </rPh>
    <rPh sb="3" eb="4">
      <t>カイ</t>
    </rPh>
    <rPh sb="4" eb="6">
      <t>ミツド</t>
    </rPh>
    <rPh sb="6" eb="8">
      <t>チョウサ</t>
    </rPh>
    <rPh sb="9" eb="10">
      <t>カカ</t>
    </rPh>
    <rPh sb="11" eb="13">
      <t>リョヒ</t>
    </rPh>
    <rPh sb="13" eb="14">
      <t>トウ</t>
    </rPh>
    <phoneticPr fontId="7"/>
  </si>
  <si>
    <r>
      <t xml:space="preserve">[センサーカメラ調査]；評価（２カ所、ｶﾒﾗ54台・10台）
</t>
    </r>
    <r>
      <rPr>
        <sz val="11"/>
        <color theme="0"/>
        <rFont val="ＭＳ Ｐゴシック"/>
        <family val="3"/>
        <charset val="128"/>
      </rPr>
      <t xml:space="preserve">準備（技師C２、技術員２)、設置（技師C４、技術員６）、回収（技術員５）、
データ入力・分析（技師A２、技師B５、技術員３）
※剥皮被害調査は計画策定のためのセンサーカメラ調査に付随
</t>
    </r>
    <rPh sb="8" eb="10">
      <t>チョウサ</t>
    </rPh>
    <rPh sb="28" eb="29">
      <t>ダイ</t>
    </rPh>
    <rPh sb="31" eb="33">
      <t>ジュンビ</t>
    </rPh>
    <rPh sb="34" eb="36">
      <t>ギシ</t>
    </rPh>
    <rPh sb="39" eb="41">
      <t>ギジュツ</t>
    </rPh>
    <rPh sb="41" eb="42">
      <t>イン</t>
    </rPh>
    <rPh sb="45" eb="47">
      <t>セッチ</t>
    </rPh>
    <rPh sb="48" eb="50">
      <t>ギシ</t>
    </rPh>
    <rPh sb="53" eb="55">
      <t>ギジュツ</t>
    </rPh>
    <rPh sb="55" eb="56">
      <t>イン</t>
    </rPh>
    <rPh sb="59" eb="61">
      <t>カイシュウ</t>
    </rPh>
    <rPh sb="62" eb="64">
      <t>ギジュツ</t>
    </rPh>
    <rPh sb="64" eb="65">
      <t>イン</t>
    </rPh>
    <rPh sb="72" eb="74">
      <t>ニュウリョク</t>
    </rPh>
    <rPh sb="75" eb="77">
      <t>ブンセキ</t>
    </rPh>
    <rPh sb="78" eb="80">
      <t>ギシ</t>
    </rPh>
    <rPh sb="83" eb="85">
      <t>ギシ</t>
    </rPh>
    <rPh sb="88" eb="90">
      <t>ギジュツ</t>
    </rPh>
    <rPh sb="90" eb="91">
      <t>イン</t>
    </rPh>
    <rPh sb="95" eb="96">
      <t>ハク</t>
    </rPh>
    <rPh sb="96" eb="97">
      <t>ヒ</t>
    </rPh>
    <rPh sb="97" eb="99">
      <t>ヒガイ</t>
    </rPh>
    <rPh sb="99" eb="101">
      <t>チョウサ</t>
    </rPh>
    <rPh sb="102" eb="104">
      <t>ケイカク</t>
    </rPh>
    <rPh sb="104" eb="106">
      <t>サクテイ</t>
    </rPh>
    <rPh sb="117" eb="119">
      <t>チョウサ</t>
    </rPh>
    <rPh sb="120" eb="122">
      <t>フズイ</t>
    </rPh>
    <phoneticPr fontId="7"/>
  </si>
  <si>
    <t>式</t>
    <rPh sb="0" eb="1">
      <t>シキ</t>
    </rPh>
    <phoneticPr fontId="7"/>
  </si>
  <si>
    <r>
      <rPr>
        <sz val="10"/>
        <color theme="0"/>
        <rFont val="ＭＳ Ｐゴシック"/>
        <family val="3"/>
        <charset val="128"/>
      </rPr>
      <t>140人日（</t>
    </r>
    <r>
      <rPr>
        <sz val="10"/>
        <rFont val="ＭＳ Ｐゴシック"/>
        <family val="3"/>
        <charset val="128"/>
      </rPr>
      <t>1回20人（捕獲17人+保安員２人+記録１人）×７回</t>
    </r>
    <r>
      <rPr>
        <sz val="10"/>
        <color theme="0"/>
        <rFont val="ＭＳ Ｐゴシック"/>
        <family val="3"/>
        <charset val="128"/>
      </rPr>
      <t>）</t>
    </r>
    <rPh sb="2" eb="4">
      <t>ニンニチ</t>
    </rPh>
    <rPh sb="6" eb="7">
      <t>カイ</t>
    </rPh>
    <rPh sb="12" eb="14">
      <t>ホカク</t>
    </rPh>
    <rPh sb="16" eb="17">
      <t>ニン</t>
    </rPh>
    <rPh sb="17" eb="20">
      <t>ホアンイン</t>
    </rPh>
    <rPh sb="22" eb="23">
      <t>ニン</t>
    </rPh>
    <rPh sb="24" eb="26">
      <t>キロク</t>
    </rPh>
    <rPh sb="27" eb="28">
      <t>ニン</t>
    </rPh>
    <rPh sb="30" eb="31">
      <t>カイ</t>
    </rPh>
    <phoneticPr fontId="7"/>
  </si>
  <si>
    <t xml:space="preserve">京都～福知山市：105km×往復÷14km/ℓ×５台回≒75ℓ
調査北部：15km÷14km/ℓ×往復×5台×5.4日≒58ℓ
</t>
    <rPh sb="0" eb="2">
      <t>キョウト</t>
    </rPh>
    <rPh sb="14" eb="16">
      <t>オウフク</t>
    </rPh>
    <rPh sb="32" eb="34">
      <t>チョウサ</t>
    </rPh>
    <rPh sb="34" eb="36">
      <t>ホクブ</t>
    </rPh>
    <rPh sb="49" eb="51">
      <t>オウフク</t>
    </rPh>
    <rPh sb="53" eb="54">
      <t>ダイ</t>
    </rPh>
    <rPh sb="58" eb="59">
      <t>ニチ</t>
    </rPh>
    <phoneticPr fontId="7"/>
  </si>
  <si>
    <t>単価</t>
    <rPh sb="0" eb="2">
      <t>タンカ</t>
    </rPh>
    <phoneticPr fontId="7"/>
  </si>
  <si>
    <t>甲地方（京都市）</t>
    <rPh sb="0" eb="1">
      <t>コウ</t>
    </rPh>
    <rPh sb="1" eb="3">
      <t>チホウ</t>
    </rPh>
    <rPh sb="4" eb="7">
      <t>キョウトシ</t>
    </rPh>
    <phoneticPr fontId="7"/>
  </si>
  <si>
    <t>ガソリン代</t>
    <rPh sb="4" eb="5">
      <t>ダイ</t>
    </rPh>
    <phoneticPr fontId="40"/>
  </si>
  <si>
    <t>ガソリン代単価</t>
    <rPh sb="4" eb="5">
      <t>ダイ</t>
    </rPh>
    <rPh sb="5" eb="7">
      <t>タンカ</t>
    </rPh>
    <phoneticPr fontId="7"/>
  </si>
  <si>
    <t>ライトバン損料</t>
    <rPh sb="5" eb="7">
      <t>ソンリョウ</t>
    </rPh>
    <phoneticPr fontId="7"/>
  </si>
  <si>
    <t>直接人件費</t>
    <rPh sb="0" eb="2">
      <t>チョクセツ</t>
    </rPh>
    <rPh sb="2" eb="5">
      <t>ジンケンヒ</t>
    </rPh>
    <phoneticPr fontId="7"/>
  </si>
  <si>
    <t>大分類</t>
    <rPh sb="0" eb="1">
      <t>ダイ</t>
    </rPh>
    <rPh sb="1" eb="3">
      <t>ブンルイ</t>
    </rPh>
    <phoneticPr fontId="7"/>
  </si>
  <si>
    <t>中分類</t>
    <rPh sb="0" eb="1">
      <t>チュウ</t>
    </rPh>
    <rPh sb="1" eb="3">
      <t>ブンルイ</t>
    </rPh>
    <phoneticPr fontId="7"/>
  </si>
  <si>
    <t>小分類</t>
    <rPh sb="0" eb="1">
      <t>ショウ</t>
    </rPh>
    <rPh sb="1" eb="3">
      <t>ブンルイ</t>
    </rPh>
    <phoneticPr fontId="7"/>
  </si>
  <si>
    <t>日当</t>
    <rPh sb="0" eb="2">
      <t>ニットウ</t>
    </rPh>
    <phoneticPr fontId="7"/>
  </si>
  <si>
    <t>宿泊費</t>
    <rPh sb="0" eb="3">
      <t>シュクハクヒ</t>
    </rPh>
    <phoneticPr fontId="7"/>
  </si>
  <si>
    <t>ガソリン代</t>
    <rPh sb="4" eb="5">
      <t>ダイ</t>
    </rPh>
    <phoneticPr fontId="7"/>
  </si>
  <si>
    <t>ライトバン損料</t>
    <rPh sb="5" eb="7">
      <t>ソンリョウ</t>
    </rPh>
    <phoneticPr fontId="7"/>
  </si>
  <si>
    <t>有料道路料金</t>
    <rPh sb="0" eb="2">
      <t>ユウリョウ</t>
    </rPh>
    <rPh sb="2" eb="4">
      <t>ドウロ</t>
    </rPh>
    <rPh sb="4" eb="6">
      <t>リョウキン</t>
    </rPh>
    <phoneticPr fontId="7"/>
  </si>
  <si>
    <t>技術者単価</t>
    <rPh sb="0" eb="5">
      <t>ギジュツシャタンカ</t>
    </rPh>
    <phoneticPr fontId="7"/>
  </si>
  <si>
    <t>機械損料</t>
    <rPh sb="0" eb="4">
      <t>キカイソンリョウ</t>
    </rPh>
    <phoneticPr fontId="7"/>
  </si>
  <si>
    <t>有料道路料金</t>
    <rPh sb="0" eb="4">
      <t>ユウリョウドウロ</t>
    </rPh>
    <rPh sb="4" eb="6">
      <t>リョウキン</t>
    </rPh>
    <phoneticPr fontId="7"/>
  </si>
  <si>
    <t>日</t>
    <rPh sb="0" eb="1">
      <t>ニチ</t>
    </rPh>
    <phoneticPr fontId="7"/>
  </si>
  <si>
    <t>泊</t>
    <rPh sb="0" eb="1">
      <t>ハク</t>
    </rPh>
    <phoneticPr fontId="7"/>
  </si>
  <si>
    <t>１．糞塊密度調査</t>
    <rPh sb="2" eb="3">
      <t>フン</t>
    </rPh>
    <rPh sb="3" eb="4">
      <t>カイ</t>
    </rPh>
    <rPh sb="4" eb="6">
      <t>ミツド</t>
    </rPh>
    <rPh sb="6" eb="8">
      <t>チョウサ</t>
    </rPh>
    <phoneticPr fontId="7"/>
  </si>
  <si>
    <t>材料費</t>
    <rPh sb="0" eb="3">
      <t>ザイリョウヒ</t>
    </rPh>
    <phoneticPr fontId="7"/>
  </si>
  <si>
    <t>西宮北IC－福知山ＩＣ</t>
  </si>
  <si>
    <t>L</t>
    <phoneticPr fontId="7"/>
  </si>
  <si>
    <t>時間</t>
    <rPh sb="0" eb="2">
      <t>ジカン</t>
    </rPh>
    <phoneticPr fontId="7"/>
  </si>
  <si>
    <t>小計</t>
    <rPh sb="0" eb="2">
      <t>ショウケイ</t>
    </rPh>
    <phoneticPr fontId="7"/>
  </si>
  <si>
    <t>直接経費計</t>
    <rPh sb="0" eb="4">
      <t>チョクセツケイヒ</t>
    </rPh>
    <rPh sb="4" eb="5">
      <t>ケイ</t>
    </rPh>
    <phoneticPr fontId="7"/>
  </si>
  <si>
    <t>回</t>
    <rPh sb="0" eb="1">
      <t>カイ</t>
    </rPh>
    <phoneticPr fontId="7"/>
  </si>
  <si>
    <t>⑩</t>
  </si>
  <si>
    <t>２．報告書作成</t>
    <rPh sb="2" eb="5">
      <t>ホウコクショ</t>
    </rPh>
    <rPh sb="5" eb="7">
      <t>サクセイ</t>
    </rPh>
    <phoneticPr fontId="7"/>
  </si>
  <si>
    <t>令和7年度野生鳥獣（ニホンジカ）生息動態調査</t>
    <rPh sb="0" eb="2">
      <t>レイワ</t>
    </rPh>
    <rPh sb="3" eb="5">
      <t>ネンド</t>
    </rPh>
    <rPh sb="5" eb="7">
      <t>ヤセイ</t>
    </rPh>
    <rPh sb="7" eb="9">
      <t>チョウジュウ</t>
    </rPh>
    <rPh sb="16" eb="18">
      <t>セイソク</t>
    </rPh>
    <rPh sb="18" eb="20">
      <t>ドウタイ</t>
    </rPh>
    <rPh sb="20" eb="22">
      <t>チョウサ</t>
    </rPh>
    <phoneticPr fontId="7"/>
  </si>
  <si>
    <t>人日</t>
  </si>
  <si>
    <t>【実施内容】
１．糞塊密度調査（38メッシュ）
２．報告書作成</t>
    <rPh sb="1" eb="3">
      <t>ジッシ</t>
    </rPh>
    <rPh sb="3" eb="5">
      <t>ナイヨウ</t>
    </rPh>
    <rPh sb="26" eb="29">
      <t>ホウコクショ</t>
    </rPh>
    <phoneticPr fontId="7"/>
  </si>
  <si>
    <t>京都府庁～京丹波みずほ</t>
    <rPh sb="0" eb="4">
      <t>キョウトフチョウ</t>
    </rPh>
    <rPh sb="5" eb="8">
      <t>キョウタンバ</t>
    </rPh>
    <phoneticPr fontId="7"/>
  </si>
  <si>
    <t>人件費については、令和６年度（３月改定版）土木工事単価資料による。</t>
    <phoneticPr fontId="7"/>
  </si>
  <si>
    <t>諸経費については、治山林道必携（調査・測量・設計編）令和６年度を準用する。</t>
    <rPh sb="0" eb="3">
      <t>ショケイヒ</t>
    </rPh>
    <rPh sb="9" eb="11">
      <t>チサン</t>
    </rPh>
    <rPh sb="11" eb="13">
      <t>リンドウ</t>
    </rPh>
    <rPh sb="13" eb="15">
      <t>ヒッケイ</t>
    </rPh>
    <rPh sb="22" eb="24">
      <t>セッケイ</t>
    </rPh>
    <rPh sb="24" eb="25">
      <t>ヘン</t>
    </rPh>
    <rPh sb="32" eb="34">
      <t>ジュンヨウ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</si>
</sst>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000;[Red]\-#,##0.000"/>
    <numFmt numFmtId="180" formatCode="#,##0.0000;[Red]\-#,##0.0000"/>
    <numFmt numFmtId="181" formatCode="0.0_);[Red]\(0.0\)"/>
    <numFmt numFmtId="182"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theme="1"/>
      <name val="ＭＳ Ｐゴシック"/>
      <family val="3"/>
      <charset val="128"/>
      <scheme val="minor"/>
    </font>
    <font>
      <sz val="1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4"/>
      <color rgb="FFFF0000"/>
      <name val="ＭＳ Ｐゴシック"/>
      <family val="3"/>
      <charset val="128"/>
    </font>
    <font>
      <sz val="11"/>
      <name val="ＭＳ 明朝"/>
      <family val="1"/>
      <charset val="128"/>
    </font>
    <font>
      <sz val="11"/>
      <name val="Times New Roman"/>
      <family val="1"/>
    </font>
    <font>
      <sz val="13"/>
      <name val="ＭＳ 明朝"/>
      <family val="1"/>
      <charset val="128"/>
    </font>
    <font>
      <sz val="10"/>
      <name val="Times New Roman"/>
      <family val="1"/>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9"/>
      <name val="Times New Roman"/>
      <family val="1"/>
    </font>
    <font>
      <sz val="10"/>
      <color theme="1"/>
      <name val="ＭＳ 明朝"/>
      <family val="1"/>
      <charset val="128"/>
    </font>
    <font>
      <sz val="11"/>
      <color rgb="FF000000"/>
      <name val="Times New Roman"/>
      <family val="1"/>
    </font>
    <font>
      <u/>
      <sz val="11"/>
      <name val="ＭＳ 明朝"/>
      <family val="1"/>
      <charset val="128"/>
    </font>
    <font>
      <sz val="11"/>
      <color rgb="FFFF0000"/>
      <name val="ＭＳ Ｐゴシック"/>
      <family val="2"/>
      <charset val="128"/>
      <scheme val="minor"/>
    </font>
    <font>
      <sz val="11"/>
      <name val="ＭＳ Ｐゴシック"/>
      <family val="3"/>
      <charset val="128"/>
      <scheme val="minor"/>
    </font>
    <font>
      <sz val="11"/>
      <color rgb="FF7030A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color rgb="FF7030A0"/>
      <name val="ＭＳ Ｐゴシック"/>
      <family val="3"/>
      <charset val="128"/>
      <scheme val="minor"/>
    </font>
    <font>
      <b/>
      <sz val="11"/>
      <name val="ＭＳ Ｐゴシック"/>
      <family val="3"/>
      <charset val="128"/>
    </font>
    <font>
      <sz val="11"/>
      <color theme="0"/>
      <name val="ＭＳ Ｐゴシック"/>
      <family val="3"/>
      <charset val="128"/>
    </font>
    <font>
      <sz val="10"/>
      <color theme="0"/>
      <name val="ＭＳ Ｐゴシック"/>
      <family val="3"/>
      <charset val="128"/>
    </font>
    <font>
      <sz val="6"/>
      <name val="ＭＳ Ｐゴシック"/>
      <family val="2"/>
      <charset val="128"/>
      <scheme val="minor"/>
    </font>
    <font>
      <sz val="10"/>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0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medium">
        <color rgb="FF000000"/>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top style="thick">
        <color rgb="FF000000"/>
      </top>
      <bottom/>
      <diagonal/>
    </border>
    <border>
      <left/>
      <right style="thick">
        <color rgb="FF000000"/>
      </right>
      <top style="thick">
        <color rgb="FF000000"/>
      </top>
      <bottom/>
      <diagonal/>
    </border>
    <border>
      <left/>
      <right style="thick">
        <color rgb="FF000000"/>
      </right>
      <top/>
      <bottom style="medium">
        <color rgb="FF000000"/>
      </bottom>
      <diagonal/>
    </border>
    <border>
      <left style="thick">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medium">
        <color rgb="FF000000"/>
      </left>
      <right style="medium">
        <color rgb="FF000000"/>
      </right>
      <top/>
      <bottom/>
      <diagonal/>
    </border>
    <border>
      <left style="thick">
        <color rgb="FF000000"/>
      </left>
      <right style="thick">
        <color rgb="FF000000"/>
      </right>
      <top/>
      <bottom/>
      <diagonal/>
    </border>
    <border>
      <left style="thick">
        <color rgb="FF000000"/>
      </left>
      <right style="medium">
        <color rgb="FF000000"/>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medium">
        <color rgb="FF000000"/>
      </top>
      <bottom/>
      <diagonal/>
    </border>
    <border>
      <left/>
      <right style="thick">
        <color rgb="FF000000"/>
      </right>
      <top/>
      <bottom/>
      <diagonal/>
    </border>
    <border>
      <left/>
      <right style="thick">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double">
        <color rgb="FF000000"/>
      </bottom>
      <diagonal/>
    </border>
    <border>
      <left style="thick">
        <color rgb="FF000000"/>
      </left>
      <right style="medium">
        <color rgb="FF000000"/>
      </right>
      <top/>
      <bottom style="medium">
        <color indexed="64"/>
      </bottom>
      <diagonal/>
    </border>
    <border>
      <left style="medium">
        <color rgb="FF000000"/>
      </left>
      <right/>
      <top style="double">
        <color rgb="FF000000"/>
      </top>
      <bottom style="medium">
        <color indexed="64"/>
      </bottom>
      <diagonal/>
    </border>
    <border>
      <left/>
      <right style="thick">
        <color rgb="FF000000"/>
      </right>
      <top style="double">
        <color rgb="FF000000"/>
      </top>
      <bottom style="medium">
        <color indexed="64"/>
      </bottom>
      <diagonal/>
    </border>
    <border>
      <left style="medium">
        <color rgb="FF000000"/>
      </left>
      <right/>
      <top/>
      <bottom/>
      <diagonal/>
    </border>
    <border>
      <left/>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12">
    <xf numFmtId="0" fontId="0" fillId="0" borderId="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alignment vertical="center"/>
    </xf>
    <xf numFmtId="0" fontId="4"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9" fontId="5"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41" fillId="0" borderId="0"/>
  </cellStyleXfs>
  <cellXfs count="559">
    <xf numFmtId="0" fontId="0" fillId="0" borderId="0" xfId="0"/>
    <xf numFmtId="0" fontId="6" fillId="0" borderId="0" xfId="0" applyFont="1" applyAlignment="1">
      <alignment vertical="center"/>
    </xf>
    <xf numFmtId="176" fontId="6" fillId="0" borderId="0" xfId="0" applyNumberFormat="1" applyFont="1" applyAlignment="1">
      <alignment vertical="center"/>
    </xf>
    <xf numFmtId="0" fontId="8" fillId="0" borderId="0" xfId="0" applyFont="1" applyAlignment="1">
      <alignment vertical="center"/>
    </xf>
    <xf numFmtId="176" fontId="0" fillId="0" borderId="0" xfId="0" applyNumberFormat="1"/>
    <xf numFmtId="0" fontId="0" fillId="0" borderId="0" xfId="0" applyAlignment="1">
      <alignment horizontal="center"/>
    </xf>
    <xf numFmtId="38" fontId="0" fillId="0" borderId="0" xfId="5" applyFont="1"/>
    <xf numFmtId="177" fontId="0" fillId="0" borderId="0" xfId="5" applyNumberFormat="1" applyFont="1"/>
    <xf numFmtId="40" fontId="0" fillId="0" borderId="0" xfId="5" applyNumberFormat="1" applyFont="1"/>
    <xf numFmtId="0" fontId="0" fillId="0" borderId="0" xfId="0" applyAlignment="1">
      <alignment horizontal="right"/>
    </xf>
    <xf numFmtId="9" fontId="0" fillId="0" borderId="0" xfId="7" applyFont="1" applyFill="1" applyBorder="1" applyAlignment="1"/>
    <xf numFmtId="179" fontId="0" fillId="0" borderId="0" xfId="5" applyNumberFormat="1" applyFont="1"/>
    <xf numFmtId="0" fontId="0" fillId="0" borderId="9" xfId="0" applyBorder="1"/>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vertical="center"/>
    </xf>
    <xf numFmtId="176" fontId="0" fillId="0" borderId="6" xfId="0" applyNumberFormat="1" applyBorder="1" applyAlignment="1">
      <alignment vertical="center"/>
    </xf>
    <xf numFmtId="0" fontId="0" fillId="0" borderId="6" xfId="0" applyBorder="1" applyAlignment="1">
      <alignment horizontal="center" vertical="center"/>
    </xf>
    <xf numFmtId="38" fontId="0" fillId="0" borderId="0" xfId="5" applyFont="1" applyFill="1" applyBorder="1" applyAlignment="1">
      <alignment vertical="center"/>
    </xf>
    <xf numFmtId="38" fontId="0" fillId="0" borderId="0" xfId="0" applyNumberFormat="1" applyAlignment="1">
      <alignment vertical="center"/>
    </xf>
    <xf numFmtId="38" fontId="0" fillId="0" borderId="0" xfId="5" applyFont="1" applyFill="1" applyBorder="1" applyAlignment="1"/>
    <xf numFmtId="38" fontId="6" fillId="0" borderId="0" xfId="0" applyNumberFormat="1" applyFont="1" applyAlignment="1">
      <alignment vertical="center"/>
    </xf>
    <xf numFmtId="0" fontId="13" fillId="0" borderId="0" xfId="0" applyFont="1" applyAlignment="1">
      <alignment vertical="center"/>
    </xf>
    <xf numFmtId="0" fontId="0" fillId="0" borderId="30" xfId="0" applyBorder="1" applyAlignment="1">
      <alignment vertical="center"/>
    </xf>
    <xf numFmtId="176" fontId="0" fillId="0" borderId="30" xfId="0" applyNumberFormat="1" applyBorder="1" applyAlignment="1">
      <alignment vertical="center"/>
    </xf>
    <xf numFmtId="0" fontId="0" fillId="0" borderId="30" xfId="0" applyBorder="1" applyAlignment="1">
      <alignment horizontal="center" vertical="center"/>
    </xf>
    <xf numFmtId="0" fontId="0" fillId="0" borderId="31" xfId="0" applyBorder="1" applyAlignment="1">
      <alignment vertical="center"/>
    </xf>
    <xf numFmtId="38" fontId="0" fillId="0" borderId="0" xfId="5" applyFont="1" applyFill="1" applyBorder="1" applyAlignment="1">
      <alignment horizontal="center"/>
    </xf>
    <xf numFmtId="0" fontId="0" fillId="0" borderId="11" xfId="0" applyBorder="1" applyAlignment="1">
      <alignment horizontal="right"/>
    </xf>
    <xf numFmtId="0" fontId="0" fillId="0" borderId="11" xfId="0" applyBorder="1"/>
    <xf numFmtId="0" fontId="0" fillId="0" borderId="29" xfId="0" applyBorder="1"/>
    <xf numFmtId="0" fontId="0" fillId="0" borderId="28" xfId="0" applyBorder="1"/>
    <xf numFmtId="0" fontId="15" fillId="0" borderId="6" xfId="0" applyFont="1" applyBorder="1" applyAlignment="1">
      <alignment horizontal="center"/>
    </xf>
    <xf numFmtId="0" fontId="0" fillId="0" borderId="32" xfId="0" applyBorder="1" applyAlignment="1">
      <alignment horizontal="right"/>
    </xf>
    <xf numFmtId="0" fontId="0" fillId="0" borderId="17" xfId="0" applyBorder="1" applyAlignment="1">
      <alignment horizontal="right"/>
    </xf>
    <xf numFmtId="0" fontId="0" fillId="0" borderId="22" xfId="0" applyBorder="1"/>
    <xf numFmtId="0" fontId="0" fillId="0" borderId="29" xfId="0" applyBorder="1" applyAlignment="1">
      <alignment horizontal="right"/>
    </xf>
    <xf numFmtId="0" fontId="0" fillId="0" borderId="33" xfId="0" applyBorder="1"/>
    <xf numFmtId="38" fontId="0" fillId="0" borderId="6" xfId="5" applyFont="1" applyFill="1" applyBorder="1" applyAlignment="1">
      <alignment vertical="center"/>
    </xf>
    <xf numFmtId="176" fontId="0" fillId="0" borderId="2" xfId="0" applyNumberFormat="1" applyBorder="1" applyAlignment="1">
      <alignment vertical="center"/>
    </xf>
    <xf numFmtId="178" fontId="0" fillId="0" borderId="7" xfId="7" applyNumberFormat="1" applyFont="1" applyBorder="1" applyAlignment="1">
      <alignment horizontal="right" vertical="center"/>
    </xf>
    <xf numFmtId="0" fontId="0" fillId="0" borderId="14" xfId="0" applyBorder="1" applyAlignment="1">
      <alignment vertical="center"/>
    </xf>
    <xf numFmtId="38" fontId="0" fillId="0" borderId="0" xfId="5" applyFont="1" applyFill="1" applyBorder="1" applyAlignment="1">
      <alignment horizontal="center" vertical="center"/>
    </xf>
    <xf numFmtId="38" fontId="0" fillId="0" borderId="6" xfId="5" applyFont="1" applyFill="1" applyBorder="1" applyAlignment="1">
      <alignment vertical="center" wrapText="1"/>
    </xf>
    <xf numFmtId="0" fontId="12" fillId="0" borderId="7" xfId="0" applyFont="1" applyBorder="1" applyAlignment="1">
      <alignment vertical="center"/>
    </xf>
    <xf numFmtId="38" fontId="0" fillId="0" borderId="0" xfId="9" applyFont="1" applyAlignment="1"/>
    <xf numFmtId="0" fontId="0" fillId="0" borderId="13" xfId="0" applyBorder="1" applyAlignment="1">
      <alignment vertical="center" wrapText="1"/>
    </xf>
    <xf numFmtId="0" fontId="0" fillId="0" borderId="9" xfId="0" applyBorder="1" applyAlignment="1">
      <alignment vertical="center"/>
    </xf>
    <xf numFmtId="38" fontId="13" fillId="0" borderId="0" xfId="0" applyNumberFormat="1" applyFont="1" applyAlignment="1">
      <alignment vertical="center"/>
    </xf>
    <xf numFmtId="176" fontId="0" fillId="0" borderId="9" xfId="0" applyNumberFormat="1" applyBorder="1" applyAlignment="1">
      <alignment vertical="center"/>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176" fontId="0" fillId="0" borderId="41" xfId="0" applyNumberForma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0" fillId="0" borderId="1" xfId="0" applyBorder="1" applyAlignment="1">
      <alignment horizontal="center"/>
    </xf>
    <xf numFmtId="0" fontId="0" fillId="0" borderId="2" xfId="0" applyBorder="1" applyAlignment="1">
      <alignment horizontal="center"/>
    </xf>
    <xf numFmtId="176" fontId="0" fillId="0" borderId="2" xfId="0" applyNumberFormat="1" applyBorder="1" applyAlignment="1">
      <alignment horizontal="center"/>
    </xf>
    <xf numFmtId="0" fontId="0" fillId="0" borderId="6" xfId="0" applyBorder="1"/>
    <xf numFmtId="176" fontId="0" fillId="0" borderId="6" xfId="0" applyNumberFormat="1" applyBorder="1"/>
    <xf numFmtId="38" fontId="0" fillId="0" borderId="6" xfId="5" applyFont="1" applyFill="1" applyBorder="1"/>
    <xf numFmtId="38" fontId="0" fillId="0" borderId="0" xfId="5" applyFont="1" applyFill="1" applyBorder="1"/>
    <xf numFmtId="0" fontId="0" fillId="0" borderId="9" xfId="0" applyBorder="1" applyAlignment="1">
      <alignment vertical="center" wrapText="1"/>
    </xf>
    <xf numFmtId="0" fontId="0" fillId="0" borderId="7" xfId="0" applyBorder="1" applyAlignment="1">
      <alignment vertical="center" wrapText="1"/>
    </xf>
    <xf numFmtId="0" fontId="0" fillId="0" borderId="6" xfId="0" applyBorder="1" applyAlignment="1">
      <alignment horizontal="center"/>
    </xf>
    <xf numFmtId="38" fontId="12" fillId="0" borderId="0" xfId="5" applyFont="1" applyFill="1" applyBorder="1" applyAlignment="1">
      <alignment horizontal="center"/>
    </xf>
    <xf numFmtId="38" fontId="0" fillId="0" borderId="0" xfId="9" applyFont="1" applyBorder="1" applyAlignment="1">
      <alignment horizontal="right"/>
    </xf>
    <xf numFmtId="38" fontId="0" fillId="0" borderId="0" xfId="5" applyFont="1" applyFill="1" applyBorder="1" applyAlignment="1">
      <alignment horizontal="right"/>
    </xf>
    <xf numFmtId="0" fontId="12" fillId="0" borderId="0" xfId="0" applyFont="1" applyAlignment="1">
      <alignment horizontal="left"/>
    </xf>
    <xf numFmtId="38" fontId="0" fillId="0" borderId="0" xfId="9" applyFont="1" applyBorder="1" applyAlignment="1"/>
    <xf numFmtId="178" fontId="0" fillId="0" borderId="7" xfId="7" applyNumberFormat="1" applyFont="1" applyBorder="1" applyAlignment="1">
      <alignment horizontal="right"/>
    </xf>
    <xf numFmtId="38" fontId="0" fillId="0" borderId="6" xfId="5" applyFont="1" applyFill="1" applyBorder="1" applyAlignment="1"/>
    <xf numFmtId="0" fontId="15" fillId="0" borderId="9" xfId="0" applyFont="1" applyBorder="1"/>
    <xf numFmtId="0" fontId="15" fillId="0" borderId="18" xfId="0" applyFont="1" applyBorder="1"/>
    <xf numFmtId="2" fontId="0" fillId="0" borderId="11" xfId="0" applyNumberFormat="1" applyBorder="1"/>
    <xf numFmtId="176" fontId="0" fillId="0" borderId="0" xfId="0" applyNumberFormat="1" applyAlignment="1">
      <alignment horizontal="left"/>
    </xf>
    <xf numFmtId="0" fontId="11" fillId="0" borderId="0" xfId="0" applyFont="1" applyAlignment="1">
      <alignment vertical="center"/>
    </xf>
    <xf numFmtId="38" fontId="0" fillId="0" borderId="6" xfId="5" applyFont="1" applyFill="1" applyBorder="1" applyAlignment="1">
      <alignment horizontal="right"/>
    </xf>
    <xf numFmtId="38" fontId="0" fillId="0" borderId="6" xfId="5" applyFont="1" applyFill="1" applyBorder="1" applyAlignment="1">
      <alignment horizontal="left"/>
    </xf>
    <xf numFmtId="176" fontId="0" fillId="0" borderId="39" xfId="0" applyNumberFormat="1" applyBorder="1" applyAlignment="1">
      <alignment horizontal="center" vertical="center"/>
    </xf>
    <xf numFmtId="0" fontId="0" fillId="0" borderId="44"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176" fontId="0" fillId="0" borderId="6" xfId="0" applyNumberFormat="1" applyBorder="1" applyAlignment="1">
      <alignment horizontal="right"/>
    </xf>
    <xf numFmtId="176" fontId="0" fillId="0" borderId="0" xfId="0" applyNumberFormat="1" applyAlignment="1">
      <alignment horizontal="right"/>
    </xf>
    <xf numFmtId="0" fontId="0" fillId="0" borderId="8" xfId="0" applyBorder="1" applyAlignment="1">
      <alignment vertical="center"/>
    </xf>
    <xf numFmtId="0" fontId="0" fillId="0" borderId="10" xfId="0" applyBorder="1" applyAlignment="1">
      <alignment vertical="center"/>
    </xf>
    <xf numFmtId="0" fontId="0" fillId="0" borderId="50" xfId="0" applyBorder="1" applyAlignment="1">
      <alignment vertical="center" wrapText="1"/>
    </xf>
    <xf numFmtId="0" fontId="0" fillId="0" borderId="48" xfId="0" applyBorder="1" applyAlignment="1">
      <alignment vertical="center" wrapText="1"/>
    </xf>
    <xf numFmtId="38" fontId="0" fillId="0" borderId="9" xfId="5" applyFont="1" applyFill="1" applyBorder="1" applyAlignment="1">
      <alignment vertical="center"/>
    </xf>
    <xf numFmtId="38" fontId="5" fillId="0" borderId="6" xfId="5" applyFont="1" applyFill="1" applyBorder="1" applyAlignment="1">
      <alignment vertical="center" wrapText="1"/>
    </xf>
    <xf numFmtId="0" fontId="0" fillId="0" borderId="27" xfId="0" applyBorder="1" applyAlignment="1">
      <alignment vertical="center" wrapText="1"/>
    </xf>
    <xf numFmtId="0" fontId="0" fillId="0" borderId="22" xfId="0" applyBorder="1" applyAlignment="1">
      <alignment vertical="center" wrapText="1"/>
    </xf>
    <xf numFmtId="38" fontId="0" fillId="0" borderId="22" xfId="5" applyFont="1" applyFill="1" applyBorder="1" applyAlignment="1">
      <alignment vertical="center"/>
    </xf>
    <xf numFmtId="176" fontId="0" fillId="0" borderId="22" xfId="0" applyNumberFormat="1" applyBorder="1" applyAlignment="1">
      <alignment vertical="center"/>
    </xf>
    <xf numFmtId="0" fontId="0" fillId="0" borderId="22" xfId="0" applyBorder="1" applyAlignment="1">
      <alignment vertical="center"/>
    </xf>
    <xf numFmtId="0" fontId="0" fillId="0" borderId="5" xfId="0" applyBorder="1" applyAlignment="1">
      <alignment horizontal="center" vertical="center"/>
    </xf>
    <xf numFmtId="0" fontId="0" fillId="0" borderId="37" xfId="0" applyBorder="1" applyAlignment="1">
      <alignment vertical="center" wrapText="1"/>
    </xf>
    <xf numFmtId="38" fontId="0" fillId="0" borderId="11" xfId="5" applyFont="1" applyFill="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27"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53" xfId="0" applyBorder="1" applyAlignment="1">
      <alignment vertical="center" wrapText="1"/>
    </xf>
    <xf numFmtId="0" fontId="0" fillId="0" borderId="33" xfId="0" applyBorder="1" applyAlignment="1">
      <alignment vertical="center" wrapText="1"/>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176" fontId="0" fillId="0" borderId="39" xfId="0" applyNumberFormat="1" applyBorder="1" applyAlignment="1">
      <alignment vertical="center"/>
    </xf>
    <xf numFmtId="0" fontId="0" fillId="0" borderId="39" xfId="0" applyBorder="1" applyAlignment="1">
      <alignment vertical="center"/>
    </xf>
    <xf numFmtId="0" fontId="12" fillId="0" borderId="44" xfId="0" applyFont="1" applyBorder="1" applyAlignment="1">
      <alignment vertical="center" wrapText="1"/>
    </xf>
    <xf numFmtId="0" fontId="12" fillId="0" borderId="7" xfId="0" applyFont="1" applyBorder="1" applyAlignment="1">
      <alignment vertical="center" wrapText="1"/>
    </xf>
    <xf numFmtId="176" fontId="16" fillId="0" borderId="6" xfId="0" applyNumberFormat="1" applyFont="1" applyBorder="1" applyAlignment="1">
      <alignment vertical="center"/>
    </xf>
    <xf numFmtId="0" fontId="16" fillId="0" borderId="0" xfId="0" applyFont="1"/>
    <xf numFmtId="0" fontId="16" fillId="0" borderId="0" xfId="0" applyFont="1" applyAlignment="1">
      <alignment horizontal="center"/>
    </xf>
    <xf numFmtId="176" fontId="16" fillId="0" borderId="0" xfId="0" applyNumberFormat="1" applyFont="1"/>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xf>
    <xf numFmtId="0" fontId="16" fillId="0" borderId="0" xfId="0" applyFont="1" applyAlignment="1">
      <alignment horizontal="center" vertical="center"/>
    </xf>
    <xf numFmtId="38" fontId="16" fillId="0" borderId="0" xfId="5" applyFont="1" applyFill="1" applyBorder="1" applyAlignment="1">
      <alignment vertical="center"/>
    </xf>
    <xf numFmtId="38" fontId="16" fillId="0" borderId="6" xfId="5" applyFont="1" applyFill="1" applyBorder="1" applyAlignment="1">
      <alignment vertical="center"/>
    </xf>
    <xf numFmtId="38" fontId="16" fillId="0" borderId="0" xfId="9" applyFont="1" applyFill="1" applyBorder="1" applyAlignment="1"/>
    <xf numFmtId="38" fontId="16" fillId="0" borderId="0" xfId="5" applyFont="1" applyFill="1" applyBorder="1" applyAlignment="1">
      <alignment horizontal="center" vertical="center"/>
    </xf>
    <xf numFmtId="9" fontId="16" fillId="0" borderId="0" xfId="7" applyFont="1" applyFill="1" applyBorder="1" applyAlignment="1"/>
    <xf numFmtId="176" fontId="16" fillId="0" borderId="0" xfId="0" applyNumberFormat="1" applyFont="1" applyAlignment="1">
      <alignment vertical="center"/>
    </xf>
    <xf numFmtId="38" fontId="16" fillId="0" borderId="6" xfId="5" applyFont="1" applyFill="1" applyBorder="1" applyAlignment="1">
      <alignment vertical="center" wrapText="1"/>
    </xf>
    <xf numFmtId="38" fontId="16" fillId="0" borderId="0" xfId="5" applyFont="1"/>
    <xf numFmtId="177" fontId="16" fillId="0" borderId="0" xfId="5" applyNumberFormat="1" applyFont="1"/>
    <xf numFmtId="40" fontId="16" fillId="0" borderId="0" xfId="5" applyNumberFormat="1" applyFont="1"/>
    <xf numFmtId="179" fontId="16" fillId="0" borderId="0" xfId="5" applyNumberFormat="1" applyFont="1"/>
    <xf numFmtId="38" fontId="5" fillId="0" borderId="0" xfId="5" applyFont="1" applyBorder="1" applyAlignment="1">
      <alignment horizontal="center" vertical="center"/>
    </xf>
    <xf numFmtId="0" fontId="5" fillId="0" borderId="0" xfId="0" applyFont="1" applyAlignment="1">
      <alignment horizontal="center"/>
    </xf>
    <xf numFmtId="38" fontId="5" fillId="0" borderId="6" xfId="5" applyFont="1" applyFill="1" applyBorder="1"/>
    <xf numFmtId="38" fontId="5" fillId="0" borderId="6" xfId="5" applyFont="1" applyFill="1" applyBorder="1" applyAlignment="1"/>
    <xf numFmtId="38" fontId="5" fillId="0" borderId="0" xfId="5" applyFont="1" applyFill="1" applyBorder="1" applyAlignment="1">
      <alignment vertical="center"/>
    </xf>
    <xf numFmtId="0" fontId="5" fillId="0" borderId="0" xfId="0" applyFont="1"/>
    <xf numFmtId="0" fontId="0" fillId="0" borderId="0" xfId="0" applyAlignment="1">
      <alignment horizontal="left"/>
    </xf>
    <xf numFmtId="38" fontId="0" fillId="0" borderId="6" xfId="9" applyFont="1" applyFill="1" applyBorder="1" applyAlignment="1"/>
    <xf numFmtId="0" fontId="1" fillId="0" borderId="0" xfId="10">
      <alignment vertical="center"/>
    </xf>
    <xf numFmtId="0" fontId="18" fillId="0" borderId="55" xfId="10" applyFont="1" applyBorder="1" applyAlignment="1">
      <alignment horizontal="center" vertical="top" wrapText="1"/>
    </xf>
    <xf numFmtId="0" fontId="18" fillId="0" borderId="56" xfId="10" applyFont="1" applyBorder="1" applyAlignment="1">
      <alignment horizontal="center" vertical="top" wrapText="1"/>
    </xf>
    <xf numFmtId="0" fontId="22" fillId="0" borderId="0" xfId="10" applyFont="1" applyAlignment="1">
      <alignment horizontal="left" vertical="center" indent="4"/>
    </xf>
    <xf numFmtId="0" fontId="19" fillId="0" borderId="58" xfId="10" applyFont="1" applyBorder="1" applyAlignment="1">
      <alignment horizontal="center" vertical="top" wrapText="1"/>
    </xf>
    <xf numFmtId="0" fontId="19" fillId="0" borderId="63" xfId="10" applyFont="1" applyBorder="1" applyAlignment="1">
      <alignment horizontal="center" vertical="top" wrapText="1"/>
    </xf>
    <xf numFmtId="0" fontId="18" fillId="0" borderId="67" xfId="10" applyFont="1" applyBorder="1" applyAlignment="1">
      <alignment horizontal="center" vertical="top" wrapText="1"/>
    </xf>
    <xf numFmtId="0" fontId="18" fillId="0" borderId="68" xfId="10" applyFont="1" applyBorder="1" applyAlignment="1">
      <alignment horizontal="center" vertical="top" wrapText="1"/>
    </xf>
    <xf numFmtId="0" fontId="18" fillId="0" borderId="69" xfId="10" applyFont="1" applyBorder="1" applyAlignment="1">
      <alignment horizontal="center" vertical="top" wrapText="1"/>
    </xf>
    <xf numFmtId="0" fontId="18" fillId="0" borderId="65" xfId="10" applyFont="1" applyBorder="1" applyAlignment="1">
      <alignment horizontal="center" vertical="top" wrapText="1"/>
    </xf>
    <xf numFmtId="3" fontId="19" fillId="0" borderId="56" xfId="10" applyNumberFormat="1" applyFont="1" applyBorder="1" applyAlignment="1">
      <alignment horizontal="right" vertical="top" wrapText="1"/>
    </xf>
    <xf numFmtId="0" fontId="19" fillId="0" borderId="72" xfId="10" applyFont="1" applyBorder="1" applyAlignment="1">
      <alignment horizontal="justify" vertical="top" wrapText="1"/>
    </xf>
    <xf numFmtId="0" fontId="18" fillId="0" borderId="62" xfId="10" applyFont="1" applyBorder="1" applyAlignment="1">
      <alignment horizontal="justify" vertical="top" wrapText="1"/>
    </xf>
    <xf numFmtId="0" fontId="19" fillId="0" borderId="56" xfId="10" applyFont="1" applyBorder="1" applyAlignment="1">
      <alignment horizontal="right" vertical="top" wrapText="1"/>
    </xf>
    <xf numFmtId="0" fontId="18" fillId="0" borderId="72" xfId="10" applyFont="1" applyBorder="1" applyAlignment="1">
      <alignment horizontal="justify" vertical="top" wrapText="1"/>
    </xf>
    <xf numFmtId="0" fontId="18" fillId="0" borderId="80" xfId="10" applyFont="1" applyBorder="1" applyAlignment="1">
      <alignment horizontal="justify" vertical="top" wrapText="1"/>
    </xf>
    <xf numFmtId="0" fontId="1" fillId="0" borderId="80" xfId="10" applyBorder="1" applyAlignment="1">
      <alignment vertical="top" wrapText="1"/>
    </xf>
    <xf numFmtId="0" fontId="1" fillId="0" borderId="72" xfId="10" applyBorder="1" applyAlignment="1">
      <alignment vertical="top" wrapText="1"/>
    </xf>
    <xf numFmtId="0" fontId="25" fillId="0" borderId="72" xfId="10" applyFont="1" applyBorder="1" applyAlignment="1">
      <alignment horizontal="justify" vertical="top" wrapText="1"/>
    </xf>
    <xf numFmtId="0" fontId="18" fillId="0" borderId="81" xfId="10" applyFont="1" applyBorder="1" applyAlignment="1">
      <alignment horizontal="justify" vertical="top" wrapText="1"/>
    </xf>
    <xf numFmtId="3" fontId="19" fillId="0" borderId="82" xfId="10" applyNumberFormat="1" applyFont="1" applyBorder="1" applyAlignment="1">
      <alignment horizontal="right" vertical="top" wrapText="1"/>
    </xf>
    <xf numFmtId="0" fontId="19" fillId="0" borderId="82" xfId="10" applyFont="1" applyBorder="1" applyAlignment="1">
      <alignment horizontal="right" vertical="top" wrapText="1"/>
    </xf>
    <xf numFmtId="0" fontId="19" fillId="0" borderId="81" xfId="10" applyFont="1" applyBorder="1" applyAlignment="1">
      <alignment horizontal="justify" vertical="top" wrapText="1"/>
    </xf>
    <xf numFmtId="0" fontId="19" fillId="0" borderId="82" xfId="10" applyFont="1" applyBorder="1" applyAlignment="1">
      <alignment horizontal="justify" vertical="top" wrapText="1"/>
    </xf>
    <xf numFmtId="0" fontId="1" fillId="0" borderId="81" xfId="10" applyBorder="1" applyAlignment="1">
      <alignment vertical="top" wrapText="1"/>
    </xf>
    <xf numFmtId="0" fontId="19" fillId="0" borderId="54" xfId="10" applyFont="1" applyBorder="1" applyAlignment="1">
      <alignment horizontal="justify" vertical="top" wrapText="1"/>
    </xf>
    <xf numFmtId="0" fontId="18" fillId="0" borderId="55" xfId="10" applyFont="1" applyBorder="1" applyAlignment="1">
      <alignment horizontal="justify" vertical="top" wrapText="1"/>
    </xf>
    <xf numFmtId="0" fontId="19" fillId="0" borderId="0" xfId="10" applyFont="1" applyAlignment="1">
      <alignment horizontal="justify" vertical="center"/>
    </xf>
    <xf numFmtId="0" fontId="18" fillId="0" borderId="54" xfId="10" applyFont="1" applyBorder="1" applyAlignment="1">
      <alignment horizontal="justify" vertical="top" wrapText="1"/>
    </xf>
    <xf numFmtId="0" fontId="18" fillId="0" borderId="75" xfId="10" applyFont="1" applyBorder="1" applyAlignment="1">
      <alignment horizontal="justify" vertical="top" wrapText="1"/>
    </xf>
    <xf numFmtId="0" fontId="19" fillId="0" borderId="75" xfId="10" applyFont="1" applyBorder="1" applyAlignment="1">
      <alignment horizontal="justify" vertical="top" wrapText="1"/>
    </xf>
    <xf numFmtId="0" fontId="27" fillId="0" borderId="0" xfId="10" applyFont="1" applyAlignment="1">
      <alignment vertical="center" wrapText="1"/>
    </xf>
    <xf numFmtId="0" fontId="19" fillId="0" borderId="63" xfId="10" applyFont="1" applyBorder="1" applyAlignment="1">
      <alignment horizontal="justify" vertical="top" wrapText="1"/>
    </xf>
    <xf numFmtId="0" fontId="18" fillId="0" borderId="75" xfId="10" applyFont="1" applyBorder="1" applyAlignment="1">
      <alignment horizontal="center" vertical="top" wrapText="1"/>
    </xf>
    <xf numFmtId="0" fontId="18" fillId="0" borderId="89" xfId="10" applyFont="1" applyBorder="1" applyAlignment="1">
      <alignment horizontal="center" vertical="top" wrapText="1"/>
    </xf>
    <xf numFmtId="0" fontId="18" fillId="0" borderId="89" xfId="10" applyFont="1" applyBorder="1" applyAlignment="1">
      <alignment horizontal="justify" vertical="top" wrapText="1"/>
    </xf>
    <xf numFmtId="0" fontId="19" fillId="0" borderId="89" xfId="10" applyFont="1" applyBorder="1" applyAlignment="1">
      <alignment horizontal="center" vertical="top" wrapText="1"/>
    </xf>
    <xf numFmtId="0" fontId="1" fillId="0" borderId="55" xfId="10" applyBorder="1" applyAlignment="1">
      <alignment vertical="top" wrapText="1"/>
    </xf>
    <xf numFmtId="0" fontId="1" fillId="0" borderId="56" xfId="10" applyBorder="1" applyAlignment="1">
      <alignment vertical="top" wrapText="1"/>
    </xf>
    <xf numFmtId="0" fontId="19" fillId="0" borderId="75" xfId="10" applyFont="1" applyBorder="1" applyAlignment="1">
      <alignment horizontal="center" vertical="top" wrapText="1"/>
    </xf>
    <xf numFmtId="0" fontId="18" fillId="0" borderId="89" xfId="10" applyFont="1" applyBorder="1" applyAlignment="1">
      <alignment horizontal="right" vertical="center" wrapText="1"/>
    </xf>
    <xf numFmtId="0" fontId="18" fillId="0" borderId="56" xfId="10" applyFont="1" applyBorder="1" applyAlignment="1">
      <alignment horizontal="right" vertical="center" wrapText="1"/>
    </xf>
    <xf numFmtId="0" fontId="19" fillId="0" borderId="55" xfId="10" applyFont="1" applyBorder="1" applyAlignment="1">
      <alignment horizontal="justify" vertical="top" wrapText="1"/>
    </xf>
    <xf numFmtId="0" fontId="19" fillId="0" borderId="89" xfId="10" applyFont="1" applyBorder="1" applyAlignment="1">
      <alignment horizontal="justify" vertical="top" wrapText="1"/>
    </xf>
    <xf numFmtId="0" fontId="18" fillId="0" borderId="92" xfId="10" applyFont="1" applyBorder="1" applyAlignment="1">
      <alignment horizontal="center" vertical="top" wrapText="1"/>
    </xf>
    <xf numFmtId="0" fontId="18" fillId="0" borderId="93" xfId="10" applyFont="1" applyBorder="1" applyAlignment="1">
      <alignment horizontal="center" vertical="top" wrapText="1"/>
    </xf>
    <xf numFmtId="0" fontId="28" fillId="0" borderId="0" xfId="10" applyFont="1" applyAlignment="1">
      <alignment horizontal="justify" vertical="center" wrapText="1"/>
    </xf>
    <xf numFmtId="0" fontId="19" fillId="0" borderId="92" xfId="10" applyFont="1" applyBorder="1" applyAlignment="1">
      <alignment horizontal="justify" vertical="top" wrapText="1"/>
    </xf>
    <xf numFmtId="0" fontId="29" fillId="0" borderId="75" xfId="10" applyFont="1" applyBorder="1" applyAlignment="1">
      <alignment horizontal="justify" vertical="center" wrapText="1"/>
    </xf>
    <xf numFmtId="0" fontId="29" fillId="0" borderId="89" xfId="10" applyFont="1" applyBorder="1" applyAlignment="1">
      <alignment horizontal="justify" vertical="center" wrapText="1"/>
    </xf>
    <xf numFmtId="0" fontId="29" fillId="0" borderId="55" xfId="10" applyFont="1" applyBorder="1" applyAlignment="1">
      <alignment horizontal="justify" vertical="center" wrapText="1"/>
    </xf>
    <xf numFmtId="0" fontId="29" fillId="0" borderId="56" xfId="10" applyFont="1" applyBorder="1" applyAlignment="1">
      <alignment horizontal="justify" vertical="center" wrapText="1"/>
    </xf>
    <xf numFmtId="0" fontId="19" fillId="0" borderId="56" xfId="10" applyFont="1" applyBorder="1" applyAlignment="1">
      <alignment horizontal="justify" vertical="top" wrapText="1"/>
    </xf>
    <xf numFmtId="0" fontId="18" fillId="0" borderId="56" xfId="10" applyFont="1" applyBorder="1" applyAlignment="1">
      <alignment horizontal="justify" vertical="top" wrapText="1"/>
    </xf>
    <xf numFmtId="0" fontId="18" fillId="0" borderId="56" xfId="10" applyFont="1" applyBorder="1" applyAlignment="1">
      <alignment horizontal="left" vertical="top" wrapText="1"/>
    </xf>
    <xf numFmtId="0" fontId="28" fillId="0" borderId="0" xfId="10" applyFont="1" applyAlignment="1">
      <alignment horizontal="justify" vertical="center"/>
    </xf>
    <xf numFmtId="0" fontId="1" fillId="0" borderId="75" xfId="10" applyBorder="1" applyAlignment="1">
      <alignment vertical="top" wrapText="1"/>
    </xf>
    <xf numFmtId="0" fontId="19" fillId="0" borderId="55" xfId="10" applyFont="1" applyBorder="1" applyAlignment="1">
      <alignment horizontal="left" vertical="top" wrapText="1"/>
    </xf>
    <xf numFmtId="0" fontId="19" fillId="0" borderId="56" xfId="10" applyFont="1" applyBorder="1" applyAlignment="1">
      <alignment horizontal="left" vertical="top" wrapText="1"/>
    </xf>
    <xf numFmtId="0" fontId="19" fillId="0" borderId="55" xfId="10" applyFont="1" applyBorder="1" applyAlignment="1">
      <alignment vertical="top" wrapText="1"/>
    </xf>
    <xf numFmtId="0" fontId="21" fillId="0" borderId="0" xfId="10" applyFont="1" applyAlignment="1">
      <alignment horizontal="justify" vertical="center"/>
    </xf>
    <xf numFmtId="0" fontId="1" fillId="0" borderId="89" xfId="10" applyBorder="1" applyAlignment="1">
      <alignment vertical="top" wrapText="1"/>
    </xf>
    <xf numFmtId="0" fontId="0" fillId="0" borderId="12" xfId="0" applyBorder="1" applyAlignment="1">
      <alignment vertical="center" wrapText="1"/>
    </xf>
    <xf numFmtId="176" fontId="0" fillId="0" borderId="12" xfId="0" applyNumberFormat="1"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177" fontId="0" fillId="0" borderId="0" xfId="5" applyNumberFormat="1" applyFont="1" applyAlignment="1">
      <alignment vertical="center"/>
    </xf>
    <xf numFmtId="38" fontId="1" fillId="0" borderId="0" xfId="9" applyFont="1">
      <alignment vertical="center"/>
    </xf>
    <xf numFmtId="0" fontId="0" fillId="0" borderId="14" xfId="0" applyBorder="1" applyAlignment="1">
      <alignment vertical="center" wrapText="1"/>
    </xf>
    <xf numFmtId="176" fontId="0" fillId="0" borderId="14" xfId="0" applyNumberFormat="1" applyBorder="1" applyAlignment="1">
      <alignment vertical="center"/>
    </xf>
    <xf numFmtId="0" fontId="0" fillId="0" borderId="14" xfId="0" applyBorder="1" applyAlignment="1">
      <alignment horizontal="center" vertical="center"/>
    </xf>
    <xf numFmtId="0" fontId="0" fillId="0" borderId="15" xfId="0" applyBorder="1" applyAlignment="1">
      <alignment vertical="center" wrapText="1"/>
    </xf>
    <xf numFmtId="0" fontId="0" fillId="0" borderId="6" xfId="0" applyBorder="1" applyAlignment="1">
      <alignment vertical="center" wrapText="1"/>
    </xf>
    <xf numFmtId="38" fontId="30" fillId="0" borderId="0" xfId="10" applyNumberFormat="1" applyFont="1">
      <alignment vertical="center"/>
    </xf>
    <xf numFmtId="38" fontId="31" fillId="0" borderId="0" xfId="9" applyFont="1">
      <alignment vertical="center"/>
    </xf>
    <xf numFmtId="0" fontId="0" fillId="0" borderId="12" xfId="0" applyBorder="1" applyAlignment="1">
      <alignment horizontal="left" vertical="center" wrapText="1"/>
    </xf>
    <xf numFmtId="0" fontId="12" fillId="0" borderId="37" xfId="0" applyFont="1" applyBorder="1" applyAlignment="1">
      <alignment vertical="center"/>
    </xf>
    <xf numFmtId="38" fontId="0" fillId="0" borderId="6" xfId="9" applyFont="1" applyBorder="1" applyAlignment="1">
      <alignment horizontal="center"/>
    </xf>
    <xf numFmtId="38" fontId="1" fillId="0" borderId="0" xfId="10" applyNumberFormat="1">
      <alignment vertical="center"/>
    </xf>
    <xf numFmtId="38" fontId="0" fillId="0" borderId="11" xfId="0" applyNumberFormat="1" applyBorder="1"/>
    <xf numFmtId="38" fontId="0" fillId="0" borderId="6" xfId="9" applyFont="1" applyBorder="1" applyAlignment="1">
      <alignment horizontal="right" vertical="center"/>
    </xf>
    <xf numFmtId="38" fontId="5" fillId="0" borderId="6" xfId="9" applyFont="1" applyFill="1" applyBorder="1" applyAlignment="1">
      <alignment horizontal="right" vertical="center"/>
    </xf>
    <xf numFmtId="38" fontId="0" fillId="0" borderId="6" xfId="9" applyFont="1" applyFill="1" applyBorder="1" applyAlignment="1">
      <alignment horizontal="right" vertical="center"/>
    </xf>
    <xf numFmtId="176" fontId="0" fillId="0" borderId="0" xfId="7" applyNumberFormat="1" applyFont="1" applyFill="1" applyBorder="1" applyAlignment="1"/>
    <xf numFmtId="38" fontId="0" fillId="0" borderId="0" xfId="9" applyFont="1" applyAlignment="1">
      <alignment horizontal="right" vertical="center"/>
    </xf>
    <xf numFmtId="179" fontId="0" fillId="0" borderId="6" xfId="9" applyNumberFormat="1" applyFont="1" applyBorder="1" applyAlignment="1">
      <alignment horizontal="right" vertical="center"/>
    </xf>
    <xf numFmtId="176" fontId="0" fillId="0" borderId="6" xfId="0" applyNumberFormat="1" applyBorder="1" applyAlignment="1">
      <alignment horizontal="center" vertical="center"/>
    </xf>
    <xf numFmtId="0" fontId="12" fillId="0" borderId="6" xfId="0" applyFont="1" applyBorder="1" applyAlignment="1">
      <alignment vertical="center"/>
    </xf>
    <xf numFmtId="0" fontId="32" fillId="0" borderId="0" xfId="10" applyFont="1">
      <alignment vertical="center"/>
    </xf>
    <xf numFmtId="0" fontId="0" fillId="0" borderId="0" xfId="0" applyAlignment="1">
      <alignment vertical="top"/>
    </xf>
    <xf numFmtId="0" fontId="11" fillId="0" borderId="4" xfId="0" applyFont="1" applyBorder="1" applyAlignment="1">
      <alignment vertical="center"/>
    </xf>
    <xf numFmtId="0" fontId="0" fillId="0" borderId="22" xfId="0" applyBorder="1" applyAlignment="1">
      <alignment horizontal="center" vertical="center"/>
    </xf>
    <xf numFmtId="0" fontId="0" fillId="0" borderId="34" xfId="0" quotePrefix="1" applyBorder="1" applyAlignment="1">
      <alignment vertical="center" wrapText="1"/>
    </xf>
    <xf numFmtId="0" fontId="0" fillId="0" borderId="11" xfId="0" applyBorder="1" applyAlignment="1">
      <alignment vertical="center" wrapText="1"/>
    </xf>
    <xf numFmtId="176" fontId="0" fillId="0" borderId="5" xfId="0" applyNumberFormat="1" applyBorder="1" applyAlignment="1">
      <alignment vertical="center"/>
    </xf>
    <xf numFmtId="0" fontId="0" fillId="0" borderId="35" xfId="0" applyBorder="1" applyAlignment="1">
      <alignment vertical="center"/>
    </xf>
    <xf numFmtId="0" fontId="0" fillId="0" borderId="24" xfId="0" applyBorder="1" applyAlignment="1">
      <alignment vertical="center"/>
    </xf>
    <xf numFmtId="176" fontId="0" fillId="0" borderId="24" xfId="0" applyNumberFormat="1" applyBorder="1" applyAlignment="1">
      <alignment vertical="center"/>
    </xf>
    <xf numFmtId="0" fontId="0" fillId="0" borderId="25" xfId="0" applyBorder="1" applyAlignment="1">
      <alignment horizontal="center" vertical="center"/>
    </xf>
    <xf numFmtId="38" fontId="0" fillId="0" borderId="13" xfId="5" applyFont="1" applyFill="1" applyBorder="1" applyAlignment="1">
      <alignment horizontal="center" vertical="center"/>
    </xf>
    <xf numFmtId="9" fontId="0" fillId="0" borderId="7" xfId="0" applyNumberFormat="1" applyBorder="1" applyAlignment="1">
      <alignment vertical="center"/>
    </xf>
    <xf numFmtId="0" fontId="0" fillId="0" borderId="15" xfId="0" applyBorder="1" applyAlignment="1">
      <alignment vertical="center"/>
    </xf>
    <xf numFmtId="0" fontId="0" fillId="0" borderId="9" xfId="0" applyBorder="1" applyAlignment="1">
      <alignment wrapText="1"/>
    </xf>
    <xf numFmtId="0" fontId="7" fillId="0" borderId="11" xfId="0" applyFont="1" applyBorder="1"/>
    <xf numFmtId="1" fontId="0" fillId="0" borderId="6" xfId="0" applyNumberFormat="1" applyBorder="1" applyAlignment="1">
      <alignment horizontal="center"/>
    </xf>
    <xf numFmtId="0" fontId="14" fillId="0" borderId="7" xfId="0" applyFont="1" applyBorder="1" applyAlignment="1">
      <alignment vertical="center" wrapText="1"/>
    </xf>
    <xf numFmtId="38" fontId="0" fillId="0" borderId="29" xfId="0" applyNumberFormat="1" applyBorder="1" applyAlignment="1">
      <alignment horizontal="right"/>
    </xf>
    <xf numFmtId="38" fontId="33" fillId="0" borderId="0" xfId="9" applyFont="1">
      <alignment vertical="center"/>
    </xf>
    <xf numFmtId="38" fontId="34" fillId="0" borderId="0" xfId="10" applyNumberFormat="1" applyFont="1">
      <alignment vertical="center"/>
    </xf>
    <xf numFmtId="38" fontId="35" fillId="0" borderId="0" xfId="9" applyFont="1">
      <alignment vertical="center"/>
    </xf>
    <xf numFmtId="0" fontId="36" fillId="0" borderId="0" xfId="10" applyFont="1">
      <alignment vertical="center"/>
    </xf>
    <xf numFmtId="38" fontId="13" fillId="0" borderId="0" xfId="0" applyNumberFormat="1" applyFont="1" applyAlignment="1">
      <alignment horizontal="left" vertical="center"/>
    </xf>
    <xf numFmtId="0" fontId="0" fillId="0" borderId="38" xfId="0" applyBorder="1" applyAlignment="1">
      <alignment horizontal="center"/>
    </xf>
    <xf numFmtId="0" fontId="0" fillId="0" borderId="39" xfId="0" applyBorder="1" applyAlignment="1">
      <alignment horizontal="center"/>
    </xf>
    <xf numFmtId="176" fontId="0" fillId="0" borderId="39" xfId="0" applyNumberFormat="1" applyBorder="1" applyAlignment="1">
      <alignment horizontal="center"/>
    </xf>
    <xf numFmtId="0" fontId="0" fillId="0" borderId="44" xfId="0" applyBorder="1" applyAlignment="1">
      <alignment horizontal="center"/>
    </xf>
    <xf numFmtId="176" fontId="0" fillId="0" borderId="0" xfId="0" applyNumberFormat="1" applyAlignment="1">
      <alignment horizontal="center"/>
    </xf>
    <xf numFmtId="0" fontId="0" fillId="0" borderId="7" xfId="0" applyBorder="1" applyAlignment="1">
      <alignment vertical="top" wrapText="1"/>
    </xf>
    <xf numFmtId="0" fontId="0" fillId="0" borderId="45" xfId="0"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3" xfId="0" applyBorder="1" applyAlignment="1">
      <alignment vertical="center" wrapText="1"/>
    </xf>
    <xf numFmtId="0" fontId="0" fillId="0" borderId="31" xfId="0" applyBorder="1"/>
    <xf numFmtId="38" fontId="0" fillId="0" borderId="15" xfId="8" applyFont="1" applyBorder="1" applyAlignment="1"/>
    <xf numFmtId="38" fontId="0" fillId="0" borderId="0" xfId="0" applyNumberFormat="1"/>
    <xf numFmtId="180" fontId="0" fillId="0" borderId="0" xfId="5" applyNumberFormat="1" applyFont="1"/>
    <xf numFmtId="0" fontId="0" fillId="0" borderId="10" xfId="0" applyBorder="1" applyAlignment="1">
      <alignment horizontal="left" vertical="center" wrapText="1"/>
    </xf>
    <xf numFmtId="0" fontId="0" fillId="0" borderId="35" xfId="0" applyBorder="1" applyAlignment="1">
      <alignment horizontal="left" vertical="center" wrapText="1"/>
    </xf>
    <xf numFmtId="0" fontId="0" fillId="3" borderId="0" xfId="0" applyFill="1" applyAlignment="1">
      <alignment vertical="center"/>
    </xf>
    <xf numFmtId="182" fontId="0" fillId="0" borderId="0" xfId="0" applyNumberFormat="1" applyAlignment="1">
      <alignment vertical="center"/>
    </xf>
    <xf numFmtId="0" fontId="0" fillId="0" borderId="5" xfId="0" applyBorder="1" applyAlignment="1">
      <alignment vertical="center"/>
    </xf>
    <xf numFmtId="0" fontId="0" fillId="0" borderId="17" xfId="0" applyBorder="1" applyAlignment="1">
      <alignment vertical="center"/>
    </xf>
    <xf numFmtId="0" fontId="0" fillId="0" borderId="7" xfId="0" applyBorder="1" applyAlignment="1">
      <alignment horizontal="right" vertical="center"/>
    </xf>
    <xf numFmtId="0" fontId="0" fillId="0" borderId="26"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31" xfId="0" applyBorder="1" applyAlignment="1">
      <alignment horizontal="right" vertical="center"/>
    </xf>
    <xf numFmtId="0" fontId="0" fillId="0" borderId="0" xfId="0" applyAlignment="1">
      <alignment horizontal="left" vertical="center"/>
    </xf>
    <xf numFmtId="0" fontId="37" fillId="0" borderId="6" xfId="0" applyFont="1" applyBorder="1" applyAlignment="1">
      <alignment horizontal="center" vertical="center"/>
    </xf>
    <xf numFmtId="38" fontId="37" fillId="0" borderId="6" xfId="9" applyFont="1" applyBorder="1" applyAlignment="1">
      <alignment horizontal="center" vertical="center"/>
    </xf>
    <xf numFmtId="0" fontId="37" fillId="0" borderId="6" xfId="0" applyFont="1" applyBorder="1" applyAlignment="1">
      <alignment horizontal="center" vertical="center" wrapText="1"/>
    </xf>
    <xf numFmtId="38" fontId="5" fillId="0" borderId="6" xfId="9" applyFont="1" applyFill="1" applyBorder="1" applyAlignment="1">
      <alignment vertical="center"/>
    </xf>
    <xf numFmtId="38" fontId="0" fillId="0" borderId="6" xfId="9" applyFont="1" applyBorder="1" applyAlignment="1">
      <alignment vertical="center"/>
    </xf>
    <xf numFmtId="38" fontId="0" fillId="0" borderId="6" xfId="9" applyFont="1" applyFill="1" applyBorder="1" applyAlignment="1">
      <alignment vertical="center"/>
    </xf>
    <xf numFmtId="177" fontId="0" fillId="0" borderId="6" xfId="5" applyNumberFormat="1" applyFont="1" applyBorder="1" applyAlignment="1">
      <alignment vertical="center"/>
    </xf>
    <xf numFmtId="38" fontId="0" fillId="0" borderId="6" xfId="5" applyFont="1" applyBorder="1" applyAlignment="1">
      <alignment vertical="center"/>
    </xf>
    <xf numFmtId="40" fontId="0" fillId="0" borderId="6" xfId="5" applyNumberFormat="1" applyFont="1" applyBorder="1" applyAlignment="1">
      <alignment vertical="center"/>
    </xf>
    <xf numFmtId="179" fontId="0" fillId="0" borderId="6" xfId="5" applyNumberFormat="1" applyFont="1" applyBorder="1" applyAlignment="1">
      <alignment vertical="center"/>
    </xf>
    <xf numFmtId="0" fontId="0" fillId="0" borderId="0" xfId="0" applyAlignment="1">
      <alignment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176"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7" xfId="0" applyBorder="1" applyAlignment="1">
      <alignment horizontal="center" vertical="center" wrapText="1"/>
    </xf>
    <xf numFmtId="0" fontId="0" fillId="0" borderId="53" xfId="0" applyBorder="1" applyAlignment="1">
      <alignment horizontal="center" vertical="center"/>
    </xf>
    <xf numFmtId="0" fontId="0" fillId="0" borderId="14" xfId="0" applyBorder="1" applyAlignment="1">
      <alignment horizontal="right" vertical="center"/>
    </xf>
    <xf numFmtId="176" fontId="0" fillId="0" borderId="14" xfId="0" applyNumberFormat="1" applyBorder="1" applyAlignment="1">
      <alignment horizontal="right" vertical="center"/>
    </xf>
    <xf numFmtId="0" fontId="0" fillId="0" borderId="9" xfId="0" applyBorder="1" applyAlignment="1">
      <alignment horizontal="left" vertical="center"/>
    </xf>
    <xf numFmtId="176" fontId="0" fillId="0" borderId="11" xfId="0" applyNumberFormat="1" applyBorder="1" applyAlignment="1">
      <alignment vertical="center"/>
    </xf>
    <xf numFmtId="176" fontId="0" fillId="0" borderId="39"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2" xfId="0" applyNumberFormat="1" applyBorder="1" applyAlignment="1">
      <alignment horizontal="right" vertical="center"/>
    </xf>
    <xf numFmtId="176" fontId="0" fillId="0" borderId="30" xfId="0" applyNumberFormat="1" applyBorder="1" applyAlignment="1">
      <alignment horizontal="right" vertical="center"/>
    </xf>
    <xf numFmtId="0" fontId="0" fillId="0" borderId="39" xfId="0" applyBorder="1" applyAlignment="1">
      <alignment horizontal="right" vertical="center"/>
    </xf>
    <xf numFmtId="0" fontId="0" fillId="2" borderId="6" xfId="0" applyFill="1" applyBorder="1" applyAlignment="1">
      <alignment horizontal="right" vertical="center"/>
    </xf>
    <xf numFmtId="0" fontId="0" fillId="2" borderId="6" xfId="0" applyFill="1" applyBorder="1" applyAlignment="1">
      <alignment vertical="center"/>
    </xf>
    <xf numFmtId="0" fontId="0" fillId="2" borderId="11" xfId="0" applyFill="1" applyBorder="1" applyAlignment="1">
      <alignment vertical="center"/>
    </xf>
    <xf numFmtId="38" fontId="0" fillId="0" borderId="16" xfId="5" applyFont="1" applyFill="1" applyBorder="1" applyAlignment="1">
      <alignment horizontal="center" vertical="center"/>
    </xf>
    <xf numFmtId="38" fontId="0" fillId="0" borderId="7" xfId="5" applyFont="1" applyBorder="1" applyAlignment="1">
      <alignment horizontal="right" vertical="center"/>
    </xf>
    <xf numFmtId="0" fontId="0" fillId="0" borderId="37" xfId="0" applyBorder="1" applyAlignment="1">
      <alignment vertical="center"/>
    </xf>
    <xf numFmtId="0" fontId="12" fillId="0" borderId="0" xfId="0" applyFont="1" applyAlignment="1">
      <alignment vertical="top"/>
    </xf>
    <xf numFmtId="0" fontId="14" fillId="0" borderId="0" xfId="0" applyFont="1" applyAlignment="1">
      <alignment vertical="top"/>
    </xf>
    <xf numFmtId="0" fontId="0" fillId="0" borderId="45" xfId="0" applyBorder="1" applyAlignment="1">
      <alignment vertical="center"/>
    </xf>
    <xf numFmtId="0" fontId="0" fillId="0" borderId="25" xfId="0" applyBorder="1" applyAlignment="1">
      <alignment horizontal="left" vertical="center"/>
    </xf>
    <xf numFmtId="0" fontId="0" fillId="0" borderId="14" xfId="0" applyBorder="1" applyAlignment="1">
      <alignment horizontal="left" vertical="center" wrapText="1"/>
    </xf>
    <xf numFmtId="181" fontId="0" fillId="0" borderId="6" xfId="0" applyNumberFormat="1" applyBorder="1" applyAlignment="1">
      <alignment vertical="center"/>
    </xf>
    <xf numFmtId="182" fontId="0" fillId="0" borderId="6" xfId="0" applyNumberFormat="1" applyBorder="1" applyAlignment="1">
      <alignment vertical="center"/>
    </xf>
    <xf numFmtId="0" fontId="0" fillId="0" borderId="99" xfId="0" applyBorder="1" applyAlignment="1">
      <alignment vertical="center"/>
    </xf>
    <xf numFmtId="182" fontId="0" fillId="0" borderId="14" xfId="0" applyNumberFormat="1" applyBorder="1" applyAlignment="1">
      <alignment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38" fontId="0" fillId="0" borderId="0" xfId="9" applyFont="1" applyBorder="1" applyAlignment="1">
      <alignment vertical="center"/>
    </xf>
    <xf numFmtId="176" fontId="0" fillId="0" borderId="0" xfId="0" applyNumberFormat="1" applyAlignment="1">
      <alignment horizontal="right" vertical="center"/>
    </xf>
    <xf numFmtId="38" fontId="12" fillId="0" borderId="0" xfId="5" applyFont="1" applyFill="1" applyBorder="1" applyAlignment="1">
      <alignment horizontal="center" vertical="center"/>
    </xf>
    <xf numFmtId="0" fontId="12" fillId="0" borderId="0" xfId="0" applyFont="1" applyAlignment="1">
      <alignment horizontal="left" vertical="center"/>
    </xf>
    <xf numFmtId="38" fontId="0" fillId="0" borderId="0" xfId="9" applyFont="1" applyBorder="1" applyAlignment="1">
      <alignment horizontal="right" vertical="center"/>
    </xf>
    <xf numFmtId="38" fontId="0" fillId="0" borderId="0" xfId="5" applyFont="1" applyFill="1" applyBorder="1" applyAlignment="1">
      <alignment horizontal="right" vertical="center"/>
    </xf>
    <xf numFmtId="0" fontId="0" fillId="0" borderId="51" xfId="0" applyBorder="1" applyAlignment="1">
      <alignment horizontal="center" vertical="center"/>
    </xf>
    <xf numFmtId="0" fontId="14" fillId="0" borderId="32"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38" fontId="0" fillId="0" borderId="0" xfId="5" applyFont="1" applyAlignment="1">
      <alignment vertical="center"/>
    </xf>
    <xf numFmtId="40" fontId="0" fillId="0" borderId="0" xfId="5" applyNumberFormat="1" applyFont="1" applyAlignment="1">
      <alignment vertical="center"/>
    </xf>
    <xf numFmtId="179" fontId="0" fillId="0" borderId="0" xfId="5" applyNumberFormat="1" applyFont="1" applyAlignment="1">
      <alignment vertical="center"/>
    </xf>
    <xf numFmtId="38" fontId="0" fillId="0" borderId="7" xfId="9" applyFont="1" applyFill="1" applyBorder="1" applyAlignment="1">
      <alignment horizontal="left" vertical="center" wrapText="1"/>
    </xf>
    <xf numFmtId="0" fontId="0" fillId="0" borderId="36" xfId="0" applyBorder="1" applyAlignment="1">
      <alignment vertical="center"/>
    </xf>
    <xf numFmtId="0" fontId="12" fillId="0" borderId="0" xfId="0" applyFont="1" applyAlignment="1">
      <alignment vertical="center"/>
    </xf>
    <xf numFmtId="38" fontId="12" fillId="0" borderId="0" xfId="0" applyNumberFormat="1" applyFont="1" applyAlignment="1">
      <alignment vertical="center"/>
    </xf>
    <xf numFmtId="0" fontId="38" fillId="0" borderId="0" xfId="0" applyFont="1" applyAlignment="1">
      <alignment vertical="center"/>
    </xf>
    <xf numFmtId="0" fontId="38" fillId="0" borderId="7" xfId="0" applyFont="1" applyBorder="1" applyAlignment="1">
      <alignment vertical="center"/>
    </xf>
    <xf numFmtId="0" fontId="38" fillId="0" borderId="7" xfId="0" applyFont="1" applyBorder="1" applyAlignment="1">
      <alignment vertical="center" wrapText="1"/>
    </xf>
    <xf numFmtId="176" fontId="38" fillId="0" borderId="13" xfId="0" applyNumberFormat="1" applyFont="1" applyBorder="1" applyAlignment="1">
      <alignment vertical="center" wrapText="1"/>
    </xf>
    <xf numFmtId="0" fontId="38" fillId="0" borderId="15" xfId="0" applyFont="1" applyBorder="1" applyAlignment="1">
      <alignment horizontal="left" vertical="center"/>
    </xf>
    <xf numFmtId="0" fontId="38" fillId="0" borderId="15" xfId="0" applyFont="1" applyBorder="1" applyAlignment="1">
      <alignment horizontal="left" vertical="center" wrapText="1"/>
    </xf>
    <xf numFmtId="0" fontId="12" fillId="0" borderId="34" xfId="0" quotePrefix="1" applyFont="1" applyBorder="1" applyAlignment="1">
      <alignment horizontal="left" vertical="center" wrapText="1"/>
    </xf>
    <xf numFmtId="38" fontId="0" fillId="0" borderId="6" xfId="5" applyFont="1" applyFill="1" applyBorder="1" applyAlignment="1">
      <alignment horizontal="left" vertical="center"/>
    </xf>
    <xf numFmtId="0" fontId="6" fillId="4" borderId="0" xfId="0" applyFont="1" applyFill="1" applyAlignment="1">
      <alignment vertical="center"/>
    </xf>
    <xf numFmtId="0" fontId="0" fillId="4" borderId="0" xfId="0" applyFill="1" applyAlignment="1">
      <alignment vertical="center"/>
    </xf>
    <xf numFmtId="0" fontId="0" fillId="4" borderId="6" xfId="0" applyFill="1" applyBorder="1" applyAlignment="1">
      <alignment vertical="center" wrapText="1"/>
    </xf>
    <xf numFmtId="0" fontId="0" fillId="4" borderId="6" xfId="0" applyFill="1" applyBorder="1" applyAlignment="1">
      <alignment horizontal="left" vertical="center" wrapText="1"/>
    </xf>
    <xf numFmtId="3" fontId="0" fillId="0" borderId="0" xfId="0" applyNumberFormat="1" applyAlignment="1">
      <alignment vertical="center"/>
    </xf>
    <xf numFmtId="0" fontId="0" fillId="4" borderId="6" xfId="0" applyFill="1" applyBorder="1" applyAlignment="1">
      <alignment vertical="center"/>
    </xf>
    <xf numFmtId="0" fontId="6" fillId="0" borderId="0" xfId="0" applyFont="1" applyAlignment="1">
      <alignment horizontal="left" vertical="center"/>
    </xf>
    <xf numFmtId="38" fontId="0" fillId="0" borderId="0" xfId="5" applyFont="1" applyAlignment="1">
      <alignment horizontal="left" vertical="center"/>
    </xf>
    <xf numFmtId="177" fontId="0" fillId="0" borderId="0" xfId="5" applyNumberFormat="1" applyFont="1" applyAlignment="1">
      <alignment horizontal="left" vertical="center"/>
    </xf>
    <xf numFmtId="40" fontId="0" fillId="0" borderId="0" xfId="5" applyNumberFormat="1" applyFont="1" applyAlignment="1">
      <alignment horizontal="left" vertical="center"/>
    </xf>
    <xf numFmtId="179" fontId="0" fillId="0" borderId="0" xfId="5" applyNumberFormat="1" applyFont="1" applyAlignment="1">
      <alignment horizontal="left" vertical="center"/>
    </xf>
    <xf numFmtId="176" fontId="0" fillId="0" borderId="6" xfId="0" applyNumberFormat="1" applyBorder="1" applyAlignment="1">
      <alignment vertical="center" wrapText="1"/>
    </xf>
    <xf numFmtId="178" fontId="0" fillId="0" borderId="6" xfId="7" applyNumberFormat="1" applyFont="1" applyBorder="1" applyAlignment="1">
      <alignment horizontal="left" vertical="center"/>
    </xf>
    <xf numFmtId="0" fontId="0" fillId="0" borderId="0" xfId="7" applyNumberFormat="1" applyFont="1" applyAlignment="1">
      <alignment vertical="center"/>
    </xf>
    <xf numFmtId="176" fontId="0" fillId="0" borderId="9" xfId="0" applyNumberFormat="1" applyBorder="1" applyAlignment="1">
      <alignment vertical="center" wrapText="1"/>
    </xf>
    <xf numFmtId="178" fontId="0" fillId="0" borderId="6" xfId="7" applyNumberFormat="1" applyFont="1" applyBorder="1" applyAlignment="1">
      <alignment horizontal="left" vertical="center" wrapText="1"/>
    </xf>
    <xf numFmtId="9" fontId="0" fillId="0" borderId="6" xfId="0" applyNumberFormat="1" applyBorder="1" applyAlignment="1">
      <alignment vertical="center"/>
    </xf>
    <xf numFmtId="0" fontId="0" fillId="4" borderId="6" xfId="0" applyFill="1" applyBorder="1" applyAlignment="1">
      <alignment horizontal="center" vertical="center"/>
    </xf>
    <xf numFmtId="0" fontId="0" fillId="0" borderId="17"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right" vertical="center" wrapText="1"/>
    </xf>
    <xf numFmtId="0" fontId="0" fillId="0" borderId="22" xfId="0" applyBorder="1" applyAlignment="1">
      <alignment horizontal="right" vertical="center" wrapText="1"/>
    </xf>
    <xf numFmtId="0" fontId="0" fillId="0" borderId="5" xfId="0" applyBorder="1" applyAlignment="1">
      <alignment horizontal="right" vertical="center" wrapText="1"/>
    </xf>
    <xf numFmtId="0" fontId="0" fillId="0" borderId="17" xfId="0" applyBorder="1" applyAlignment="1">
      <alignment horizontal="right" vertical="center"/>
    </xf>
    <xf numFmtId="0" fontId="0" fillId="0" borderId="22" xfId="0" applyBorder="1" applyAlignment="1">
      <alignment horizontal="right" vertical="center"/>
    </xf>
    <xf numFmtId="0" fontId="0" fillId="0" borderId="5" xfId="0" applyBorder="1" applyAlignment="1">
      <alignment horizontal="right"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32" xfId="0" applyBorder="1" applyAlignment="1">
      <alignment horizontal="right" vertical="center" wrapText="1"/>
    </xf>
    <xf numFmtId="0" fontId="0" fillId="0" borderId="28" xfId="0" applyBorder="1" applyAlignment="1">
      <alignment horizontal="right" vertical="center" wrapText="1"/>
    </xf>
    <xf numFmtId="0" fontId="0" fillId="0" borderId="29" xfId="0" applyBorder="1" applyAlignment="1">
      <alignment horizontal="right" vertical="center" wrapText="1"/>
    </xf>
    <xf numFmtId="0" fontId="21" fillId="0" borderId="0" xfId="10" applyFont="1" applyAlignment="1">
      <alignment horizontal="justify" vertical="center" wrapText="1"/>
    </xf>
    <xf numFmtId="0" fontId="1" fillId="0" borderId="0" xfId="10">
      <alignment vertical="center"/>
    </xf>
    <xf numFmtId="0" fontId="19" fillId="0" borderId="0" xfId="10" applyFont="1" applyAlignment="1">
      <alignment horizontal="justify" vertical="center" wrapText="1"/>
    </xf>
    <xf numFmtId="0" fontId="19" fillId="0" borderId="57" xfId="10" applyFont="1" applyBorder="1" applyAlignment="1">
      <alignment horizontal="center" vertical="top" wrapText="1"/>
    </xf>
    <xf numFmtId="0" fontId="19" fillId="0" borderId="58" xfId="10" applyFont="1" applyBorder="1" applyAlignment="1">
      <alignment horizontal="center" vertical="top" wrapText="1"/>
    </xf>
    <xf numFmtId="0" fontId="18" fillId="0" borderId="59" xfId="10" applyFont="1" applyBorder="1" applyAlignment="1">
      <alignment horizontal="justify" vertical="top" wrapText="1"/>
    </xf>
    <xf numFmtId="0" fontId="18" fillId="0" borderId="66" xfId="10" applyFont="1" applyBorder="1" applyAlignment="1">
      <alignment horizontal="justify" vertical="top" wrapText="1"/>
    </xf>
    <xf numFmtId="0" fontId="19" fillId="0" borderId="60" xfId="10" applyFont="1" applyBorder="1" applyAlignment="1">
      <alignment horizontal="justify" vertical="top" wrapText="1"/>
    </xf>
    <xf numFmtId="0" fontId="19" fillId="0" borderId="61" xfId="10" applyFont="1" applyBorder="1" applyAlignment="1">
      <alignment horizontal="justify" vertical="top" wrapText="1"/>
    </xf>
    <xf numFmtId="0" fontId="19" fillId="0" borderId="62" xfId="10" applyFont="1" applyBorder="1" applyAlignment="1">
      <alignment horizontal="justify" vertical="top" wrapText="1"/>
    </xf>
    <xf numFmtId="0" fontId="23" fillId="0" borderId="64" xfId="10" applyFont="1" applyBorder="1" applyAlignment="1">
      <alignment horizontal="center" vertical="top" wrapText="1"/>
    </xf>
    <xf numFmtId="0" fontId="23" fillId="0" borderId="65" xfId="10" applyFont="1" applyBorder="1" applyAlignment="1">
      <alignment horizontal="center" vertical="top" wrapText="1"/>
    </xf>
    <xf numFmtId="0" fontId="18" fillId="0" borderId="0" xfId="10" applyFont="1" applyAlignment="1">
      <alignment horizontal="justify" vertical="center" wrapText="1"/>
    </xf>
    <xf numFmtId="0" fontId="20" fillId="0" borderId="0" xfId="10" applyFont="1" applyAlignment="1">
      <alignment horizontal="center" vertical="center" wrapText="1"/>
    </xf>
    <xf numFmtId="0" fontId="18" fillId="0" borderId="54" xfId="10" applyFont="1" applyBorder="1" applyAlignment="1">
      <alignment horizontal="center" vertical="top" wrapText="1"/>
    </xf>
    <xf numFmtId="0" fontId="18" fillId="0" borderId="55" xfId="10" applyFont="1" applyBorder="1" applyAlignment="1">
      <alignment horizontal="center" vertical="top" wrapText="1"/>
    </xf>
    <xf numFmtId="0" fontId="18" fillId="0" borderId="60" xfId="10" applyFont="1" applyBorder="1" applyAlignment="1">
      <alignment horizontal="justify" vertical="top" wrapText="1"/>
    </xf>
    <xf numFmtId="0" fontId="18" fillId="0" borderId="62" xfId="10" applyFont="1" applyBorder="1" applyAlignment="1">
      <alignment horizontal="justify" vertical="top" wrapText="1"/>
    </xf>
    <xf numFmtId="0" fontId="18" fillId="0" borderId="57" xfId="10" applyFont="1" applyBorder="1" applyAlignment="1">
      <alignment horizontal="justify" vertical="top" wrapText="1"/>
    </xf>
    <xf numFmtId="0" fontId="18" fillId="0" borderId="58" xfId="10" applyFont="1" applyBorder="1" applyAlignment="1">
      <alignment horizontal="justify" vertical="top" wrapText="1"/>
    </xf>
    <xf numFmtId="0" fontId="19" fillId="0" borderId="75" xfId="10" applyFont="1" applyBorder="1" applyAlignment="1">
      <alignment horizontal="justify" vertical="top" wrapText="1"/>
    </xf>
    <xf numFmtId="0" fontId="19" fillId="0" borderId="83" xfId="10" applyFont="1" applyBorder="1" applyAlignment="1">
      <alignment horizontal="justify" vertical="top" wrapText="1"/>
    </xf>
    <xf numFmtId="0" fontId="18" fillId="0" borderId="85" xfId="10" applyFont="1" applyBorder="1" applyAlignment="1">
      <alignment horizontal="center" vertical="top" wrapText="1"/>
    </xf>
    <xf numFmtId="0" fontId="18" fillId="0" borderId="86" xfId="10" applyFont="1" applyBorder="1" applyAlignment="1">
      <alignment horizontal="center" vertical="top" wrapText="1"/>
    </xf>
    <xf numFmtId="0" fontId="26" fillId="0" borderId="0" xfId="10" applyFont="1" applyAlignment="1">
      <alignment horizontal="justify" vertical="center" wrapText="1"/>
    </xf>
    <xf numFmtId="0" fontId="18" fillId="0" borderId="70" xfId="10" applyFont="1" applyBorder="1" applyAlignment="1">
      <alignment horizontal="justify" vertical="top" wrapText="1"/>
    </xf>
    <xf numFmtId="0" fontId="18" fillId="0" borderId="71" xfId="10" applyFont="1" applyBorder="1" applyAlignment="1">
      <alignment horizontal="justify" vertical="top" wrapText="1"/>
    </xf>
    <xf numFmtId="0" fontId="19" fillId="0" borderId="73" xfId="10" applyFont="1" applyBorder="1" applyAlignment="1">
      <alignment horizontal="justify" vertical="top" wrapText="1"/>
    </xf>
    <xf numFmtId="0" fontId="19" fillId="0" borderId="76" xfId="10" applyFont="1" applyBorder="1" applyAlignment="1">
      <alignment horizontal="justify" vertical="top" wrapText="1"/>
    </xf>
    <xf numFmtId="0" fontId="19" fillId="0" borderId="78" xfId="10" applyFont="1" applyBorder="1" applyAlignment="1">
      <alignment horizontal="justify" vertical="top" wrapText="1"/>
    </xf>
    <xf numFmtId="0" fontId="19" fillId="0" borderId="74" xfId="10" applyFont="1" applyBorder="1" applyAlignment="1">
      <alignment horizontal="justify" vertical="top" wrapText="1"/>
    </xf>
    <xf numFmtId="0" fontId="19" fillId="0" borderId="77" xfId="10" applyFont="1" applyBorder="1" applyAlignment="1">
      <alignment horizontal="justify" vertical="top" wrapText="1"/>
    </xf>
    <xf numFmtId="0" fontId="19" fillId="0" borderId="84" xfId="10" applyFont="1" applyBorder="1" applyAlignment="1">
      <alignment horizontal="justify" vertical="top" wrapText="1"/>
    </xf>
    <xf numFmtId="0" fontId="19" fillId="0" borderId="55" xfId="10" applyFont="1" applyBorder="1" applyAlignment="1">
      <alignment horizontal="justify" vertical="top" wrapText="1"/>
    </xf>
    <xf numFmtId="0" fontId="24" fillId="0" borderId="79" xfId="10" applyFont="1" applyBorder="1" applyAlignment="1">
      <alignment horizontal="justify" vertical="top" wrapText="1"/>
    </xf>
    <xf numFmtId="0" fontId="24" fillId="0" borderId="76" xfId="10" applyFont="1" applyBorder="1" applyAlignment="1">
      <alignment horizontal="justify" vertical="top" wrapText="1"/>
    </xf>
    <xf numFmtId="0" fontId="24" fillId="0" borderId="78" xfId="10" applyFont="1" applyBorder="1" applyAlignment="1">
      <alignment horizontal="justify" vertical="top" wrapText="1"/>
    </xf>
    <xf numFmtId="0" fontId="27" fillId="0" borderId="87" xfId="10" applyFont="1" applyBorder="1" applyAlignment="1">
      <alignment vertical="center" wrapText="1"/>
    </xf>
    <xf numFmtId="0" fontId="19" fillId="0" borderId="88" xfId="10" applyFont="1" applyBorder="1" applyAlignment="1">
      <alignment horizontal="center" vertical="top" wrapText="1"/>
    </xf>
    <xf numFmtId="0" fontId="19" fillId="0" borderId="63" xfId="10" applyFont="1" applyBorder="1" applyAlignment="1">
      <alignment horizontal="center" vertical="top" wrapText="1"/>
    </xf>
    <xf numFmtId="38" fontId="19" fillId="0" borderId="87" xfId="9" applyFont="1" applyBorder="1" applyAlignment="1">
      <alignment horizontal="justify" vertical="top" wrapText="1"/>
    </xf>
    <xf numFmtId="0" fontId="18" fillId="0" borderId="90" xfId="10" applyFont="1" applyBorder="1" applyAlignment="1">
      <alignment horizontal="center" vertical="top" wrapText="1"/>
    </xf>
    <xf numFmtId="0" fontId="18" fillId="0" borderId="91" xfId="10" applyFont="1" applyBorder="1" applyAlignment="1">
      <alignment horizontal="center" vertical="top" wrapText="1"/>
    </xf>
    <xf numFmtId="0" fontId="18" fillId="0" borderId="56" xfId="10" applyFont="1" applyBorder="1" applyAlignment="1">
      <alignment horizontal="center" vertical="top" wrapText="1"/>
    </xf>
    <xf numFmtId="0" fontId="18" fillId="0" borderId="54" xfId="10" applyFont="1" applyBorder="1" applyAlignment="1">
      <alignment horizontal="right" vertical="center" wrapText="1"/>
    </xf>
    <xf numFmtId="0" fontId="18" fillId="0" borderId="55" xfId="10" applyFont="1" applyBorder="1" applyAlignment="1">
      <alignment horizontal="right" vertical="center" wrapText="1"/>
    </xf>
    <xf numFmtId="0" fontId="18" fillId="0" borderId="54" xfId="10" applyFont="1" applyBorder="1" applyAlignment="1">
      <alignment horizontal="justify" vertical="top" wrapText="1"/>
    </xf>
    <xf numFmtId="0" fontId="18" fillId="0" borderId="75" xfId="10" applyFont="1" applyBorder="1" applyAlignment="1">
      <alignment horizontal="justify" vertical="top" wrapText="1"/>
    </xf>
    <xf numFmtId="0" fontId="18" fillId="0" borderId="55" xfId="10" applyFont="1" applyBorder="1" applyAlignment="1">
      <alignment horizontal="justify" vertical="top" wrapText="1"/>
    </xf>
    <xf numFmtId="0" fontId="19" fillId="0" borderId="54" xfId="10" applyFont="1" applyBorder="1" applyAlignment="1">
      <alignment horizontal="justify" vertical="top" wrapText="1"/>
    </xf>
    <xf numFmtId="0" fontId="28" fillId="0" borderId="87" xfId="10" applyFont="1" applyBorder="1" applyAlignment="1">
      <alignment horizontal="justify" vertical="center" wrapText="1"/>
    </xf>
    <xf numFmtId="0" fontId="25" fillId="0" borderId="0" xfId="10" applyFont="1" applyAlignment="1">
      <alignment horizontal="justify" vertical="center" wrapText="1"/>
    </xf>
    <xf numFmtId="0" fontId="18" fillId="0" borderId="54" xfId="10" applyFont="1" applyBorder="1" applyAlignment="1">
      <alignment horizontal="justify" vertical="center" wrapText="1"/>
    </xf>
    <xf numFmtId="0" fontId="18" fillId="0" borderId="75" xfId="10" applyFont="1" applyBorder="1" applyAlignment="1">
      <alignment horizontal="justify" vertical="center" wrapText="1"/>
    </xf>
    <xf numFmtId="0" fontId="18" fillId="0" borderId="55" xfId="10" applyFont="1" applyBorder="1" applyAlignment="1">
      <alignment horizontal="justify" vertical="center" wrapText="1"/>
    </xf>
    <xf numFmtId="0" fontId="29" fillId="0" borderId="54" xfId="10" applyFont="1" applyBorder="1" applyAlignment="1">
      <alignment horizontal="justify" vertical="center" wrapText="1"/>
    </xf>
    <xf numFmtId="0" fontId="29" fillId="0" borderId="55" xfId="10" applyFont="1" applyBorder="1" applyAlignment="1">
      <alignment horizontal="justify" vertical="center" wrapText="1"/>
    </xf>
    <xf numFmtId="0" fontId="19" fillId="0" borderId="94" xfId="10" applyFont="1" applyBorder="1" applyAlignment="1">
      <alignment horizontal="justify" vertical="top" wrapText="1"/>
    </xf>
    <xf numFmtId="0" fontId="19" fillId="0" borderId="54" xfId="10" applyFont="1" applyBorder="1" applyAlignment="1">
      <alignment horizontal="left" vertical="top" wrapText="1"/>
    </xf>
    <xf numFmtId="0" fontId="19" fillId="0" borderId="75" xfId="10" applyFont="1" applyBorder="1" applyAlignment="1">
      <alignment horizontal="left" vertical="top" wrapText="1"/>
    </xf>
    <xf numFmtId="0" fontId="19" fillId="0" borderId="55" xfId="10" applyFont="1" applyBorder="1" applyAlignment="1">
      <alignment horizontal="left" vertical="top" wrapText="1"/>
    </xf>
    <xf numFmtId="0" fontId="19" fillId="0" borderId="95" xfId="10" applyFont="1" applyBorder="1" applyAlignment="1">
      <alignment horizontal="justify" vertical="top" wrapText="1"/>
    </xf>
    <xf numFmtId="0" fontId="19" fillId="0" borderId="96" xfId="10" applyFont="1" applyBorder="1" applyAlignment="1">
      <alignment horizontal="justify" vertical="top" wrapText="1"/>
    </xf>
    <xf numFmtId="0" fontId="19" fillId="0" borderId="97" xfId="10" applyFont="1" applyBorder="1" applyAlignment="1">
      <alignment horizontal="justify" vertical="top" wrapText="1"/>
    </xf>
    <xf numFmtId="38" fontId="0" fillId="0" borderId="17" xfId="5" applyFont="1" applyBorder="1" applyAlignment="1">
      <alignment horizontal="center" vertical="center"/>
    </xf>
    <xf numFmtId="38" fontId="0" fillId="0" borderId="5" xfId="5" applyFont="1" applyBorder="1" applyAlignment="1">
      <alignment horizontal="center" vertical="center"/>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left" vertical="center"/>
    </xf>
    <xf numFmtId="0" fontId="0" fillId="0" borderId="35"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left" vertical="center" wrapText="1"/>
    </xf>
    <xf numFmtId="0" fontId="0" fillId="0" borderId="34" xfId="0"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left" vertical="center" wrapText="1"/>
    </xf>
    <xf numFmtId="38" fontId="0" fillId="0" borderId="17" xfId="5" applyFont="1" applyFill="1" applyBorder="1" applyAlignment="1">
      <alignment horizontal="center"/>
    </xf>
    <xf numFmtId="38" fontId="0" fillId="0" borderId="5" xfId="5" applyFont="1" applyFill="1" applyBorder="1" applyAlignment="1">
      <alignment horizont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98" xfId="0" applyBorder="1" applyAlignment="1">
      <alignment horizontal="left" vertical="top" wrapText="1"/>
    </xf>
    <xf numFmtId="38" fontId="5" fillId="0" borderId="17" xfId="5" applyFont="1" applyBorder="1" applyAlignment="1">
      <alignment horizontal="center"/>
    </xf>
    <xf numFmtId="38" fontId="5" fillId="0" borderId="5" xfId="5" applyFont="1" applyBorder="1" applyAlignment="1">
      <alignment horizontal="center"/>
    </xf>
    <xf numFmtId="38" fontId="16" fillId="0" borderId="17" xfId="5" applyFont="1" applyFill="1" applyBorder="1" applyAlignment="1">
      <alignment horizontal="center" vertical="center"/>
    </xf>
    <xf numFmtId="38" fontId="16" fillId="0" borderId="5" xfId="5"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10" xfId="0" applyBorder="1" applyAlignment="1">
      <alignment horizontal="center" vertical="center" wrapText="1"/>
    </xf>
    <xf numFmtId="38" fontId="0" fillId="0" borderId="17" xfId="5" applyFont="1" applyBorder="1" applyAlignment="1">
      <alignment horizontal="center"/>
    </xf>
    <xf numFmtId="38" fontId="0" fillId="0" borderId="5" xfId="5" applyFont="1" applyBorder="1" applyAlignment="1">
      <alignment horizontal="center"/>
    </xf>
    <xf numFmtId="0" fontId="0" fillId="0" borderId="4"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xf>
    <xf numFmtId="0" fontId="0" fillId="0" borderId="49" xfId="0" applyBorder="1" applyAlignment="1">
      <alignment horizontal="left" vertical="center"/>
    </xf>
    <xf numFmtId="0" fontId="0" fillId="0" borderId="6"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2" fillId="0" borderId="17" xfId="0" applyFont="1" applyBorder="1" applyAlignment="1">
      <alignment horizontal="left" vertical="center"/>
    </xf>
    <xf numFmtId="0" fontId="12" fillId="0" borderId="34" xfId="0" applyFont="1" applyBorder="1" applyAlignment="1">
      <alignment horizontal="left" vertical="center"/>
    </xf>
    <xf numFmtId="0" fontId="14" fillId="0" borderId="17" xfId="0" applyFont="1" applyBorder="1" applyAlignment="1">
      <alignment horizontal="left"/>
    </xf>
    <xf numFmtId="0" fontId="14" fillId="0" borderId="34" xfId="0" applyFont="1" applyBorder="1" applyAlignment="1">
      <alignment horizontal="left"/>
    </xf>
    <xf numFmtId="176" fontId="0" fillId="0" borderId="17" xfId="0" applyNumberFormat="1" applyBorder="1" applyAlignment="1">
      <alignment horizontal="left"/>
    </xf>
    <xf numFmtId="176" fontId="0" fillId="0" borderId="34" xfId="0" applyNumberFormat="1" applyBorder="1" applyAlignment="1">
      <alignment horizontal="left"/>
    </xf>
    <xf numFmtId="38" fontId="0" fillId="0" borderId="26" xfId="0" applyNumberFormat="1" applyBorder="1" applyAlignment="1">
      <alignment horizontal="center" vertical="center"/>
    </xf>
    <xf numFmtId="38" fontId="0" fillId="0" borderId="30" xfId="0" applyNumberFormat="1" applyBorder="1" applyAlignment="1">
      <alignment horizontal="center" vertical="center"/>
    </xf>
    <xf numFmtId="38" fontId="0" fillId="0" borderId="17" xfId="5" applyFont="1" applyFill="1" applyBorder="1" applyAlignment="1">
      <alignment horizontal="center" vertical="center"/>
    </xf>
    <xf numFmtId="38" fontId="0" fillId="0" borderId="5" xfId="5" applyFont="1" applyFill="1" applyBorder="1" applyAlignment="1">
      <alignment horizontal="center"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38" fontId="0" fillId="0" borderId="6" xfId="0" applyNumberFormat="1" applyBorder="1" applyAlignment="1">
      <alignment horizontal="center" vertical="center"/>
    </xf>
    <xf numFmtId="0" fontId="0" fillId="0" borderId="49" xfId="0" applyBorder="1" applyAlignment="1">
      <alignment horizontal="center" vertical="center" wrapText="1"/>
    </xf>
  </cellXfs>
  <cellStyles count="12">
    <cellStyle name="パーセント" xfId="7" builtinId="5"/>
    <cellStyle name="桁区切り" xfId="9" builtinId="6"/>
    <cellStyle name="桁区切り 2" xfId="1" xr:uid="{00000000-0005-0000-0000-000002000000}"/>
    <cellStyle name="桁区切り 3" xfId="2" xr:uid="{00000000-0005-0000-0000-000003000000}"/>
    <cellStyle name="桁区切り 4" xfId="5" xr:uid="{00000000-0005-0000-0000-000004000000}"/>
    <cellStyle name="桁区切り 5" xfId="6" xr:uid="{00000000-0005-0000-0000-000005000000}"/>
    <cellStyle name="桁区切り 6" xfId="8" xr:uid="{00000000-0005-0000-0000-000006000000}"/>
    <cellStyle name="標準" xfId="0" builtinId="0"/>
    <cellStyle name="標準 2" xfId="3" xr:uid="{00000000-0005-0000-0000-000008000000}"/>
    <cellStyle name="標準 3" xfId="4" xr:uid="{00000000-0005-0000-0000-000009000000}"/>
    <cellStyle name="標準 4" xfId="10" xr:uid="{680DEF75-10D4-4C5A-925D-F2C43D7B270F}"/>
    <cellStyle name="標準 5" xfId="11" xr:uid="{F3365F69-708B-46F6-9084-687EE5204A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1219200</xdr:colOff>
      <xdr:row>27</xdr:row>
      <xdr:rowOff>0</xdr:rowOff>
    </xdr:from>
    <xdr:to>
      <xdr:col>3</xdr:col>
      <xdr:colOff>1295400</xdr:colOff>
      <xdr:row>27</xdr:row>
      <xdr:rowOff>84455</xdr:rowOff>
    </xdr:to>
    <xdr:sp macro="" textlink="">
      <xdr:nvSpPr>
        <xdr:cNvPr id="2" name="Text Box 1">
          <a:extLst>
            <a:ext uri="{FF2B5EF4-FFF2-40B4-BE49-F238E27FC236}">
              <a16:creationId xmlns:a16="http://schemas.microsoft.com/office/drawing/2014/main" id="{4F99864F-AE29-41A1-A689-9BB6893EB7D0}"/>
            </a:ext>
          </a:extLst>
        </xdr:cNvPr>
        <xdr:cNvSpPr txBox="1">
          <a:spLocks noChangeArrowheads="1"/>
        </xdr:cNvSpPr>
      </xdr:nvSpPr>
      <xdr:spPr bwMode="auto">
        <a:xfrm>
          <a:off x="3721100" y="7696200"/>
          <a:ext cx="76200" cy="87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1219200</xdr:colOff>
      <xdr:row>27</xdr:row>
      <xdr:rowOff>0</xdr:rowOff>
    </xdr:from>
    <xdr:to>
      <xdr:col>7</xdr:col>
      <xdr:colOff>73025</xdr:colOff>
      <xdr:row>27</xdr:row>
      <xdr:rowOff>84455</xdr:rowOff>
    </xdr:to>
    <xdr:sp macro="" textlink="">
      <xdr:nvSpPr>
        <xdr:cNvPr id="3" name="Text Box 1">
          <a:extLst>
            <a:ext uri="{FF2B5EF4-FFF2-40B4-BE49-F238E27FC236}">
              <a16:creationId xmlns:a16="http://schemas.microsoft.com/office/drawing/2014/main" id="{72B1690C-B7E8-457D-AC70-46B48DBBC3F3}"/>
            </a:ext>
          </a:extLst>
        </xdr:cNvPr>
        <xdr:cNvSpPr txBox="1">
          <a:spLocks noChangeArrowheads="1"/>
        </xdr:cNvSpPr>
      </xdr:nvSpPr>
      <xdr:spPr bwMode="auto">
        <a:xfrm>
          <a:off x="3721100" y="7696200"/>
          <a:ext cx="257175" cy="87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103716</xdr:colOff>
      <xdr:row>8</xdr:row>
      <xdr:rowOff>91017</xdr:rowOff>
    </xdr:from>
    <xdr:to>
      <xdr:col>21</xdr:col>
      <xdr:colOff>338667</xdr:colOff>
      <xdr:row>12</xdr:row>
      <xdr:rowOff>154517</xdr:rowOff>
    </xdr:to>
    <xdr:sp macro="" textlink="">
      <xdr:nvSpPr>
        <xdr:cNvPr id="4" name="テキスト ボックス 3">
          <a:extLst>
            <a:ext uri="{FF2B5EF4-FFF2-40B4-BE49-F238E27FC236}">
              <a16:creationId xmlns:a16="http://schemas.microsoft.com/office/drawing/2014/main" id="{4AD0F3DE-2A97-4773-BCAA-5052D6D0077F}"/>
            </a:ext>
          </a:extLst>
        </xdr:cNvPr>
        <xdr:cNvSpPr txBox="1"/>
      </xdr:nvSpPr>
      <xdr:spPr>
        <a:xfrm>
          <a:off x="17299516" y="5450417"/>
          <a:ext cx="3041651" cy="1587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・材料費＝直接経費</a:t>
          </a:r>
          <a:r>
            <a:rPr kumimoji="1" lang="en-US" altLang="ja-JP" sz="1600" b="1"/>
            <a:t>×</a:t>
          </a:r>
          <a:r>
            <a:rPr kumimoji="1" lang="ja-JP" altLang="en-US" sz="1600" b="1"/>
            <a:t>５％</a:t>
          </a:r>
          <a:br>
            <a:rPr kumimoji="1" lang="ja-JP" altLang="en-US" sz="1600" b="1"/>
          </a:br>
          <a:r>
            <a:rPr kumimoji="1" lang="ja-JP" altLang="en-US" sz="1600" b="1"/>
            <a:t>・直接人件費の５％以内</a:t>
          </a:r>
          <a:br>
            <a:rPr kumimoji="1" lang="ja-JP" altLang="en-US" sz="1600" b="1"/>
          </a:br>
          <a:r>
            <a:rPr kumimoji="1" lang="ja-JP" altLang="en-US" sz="1600" b="1"/>
            <a:t>・パソコン使用料、</a:t>
          </a:r>
          <a:r>
            <a:rPr kumimoji="1" lang="en-US" altLang="ja-JP" sz="1600" b="1"/>
            <a:t>GIS</a:t>
          </a:r>
          <a:r>
            <a:rPr kumimoji="1" lang="ja-JP" altLang="en-US" sz="1600" b="1"/>
            <a:t>使用料、無線使用料、麻酔銃使用料等</a:t>
          </a:r>
          <a:br>
            <a:rPr kumimoji="1" lang="ja-JP" altLang="en-US" sz="1600" b="1"/>
          </a:b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1762125</xdr:colOff>
      <xdr:row>119</xdr:row>
      <xdr:rowOff>9525</xdr:rowOff>
    </xdr:from>
    <xdr:to>
      <xdr:col>0</xdr:col>
      <xdr:colOff>2143125</xdr:colOff>
      <xdr:row>120</xdr:row>
      <xdr:rowOff>57150</xdr:rowOff>
    </xdr:to>
    <xdr:sp macro="" textlink="">
      <xdr:nvSpPr>
        <xdr:cNvPr id="3" name="Oval 7">
          <a:extLst>
            <a:ext uri="{FF2B5EF4-FFF2-40B4-BE49-F238E27FC236}">
              <a16:creationId xmlns:a16="http://schemas.microsoft.com/office/drawing/2014/main" id="{0D089E9F-124D-4F70-8BC2-B485E834256B}"/>
            </a:ext>
          </a:extLst>
        </xdr:cNvPr>
        <xdr:cNvSpPr>
          <a:spLocks noChangeArrowheads="1"/>
        </xdr:cNvSpPr>
      </xdr:nvSpPr>
      <xdr:spPr bwMode="auto">
        <a:xfrm>
          <a:off x="1762125" y="30327600"/>
          <a:ext cx="381000"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166</xdr:row>
      <xdr:rowOff>133350</xdr:rowOff>
    </xdr:from>
    <xdr:to>
      <xdr:col>3</xdr:col>
      <xdr:colOff>1190625</xdr:colOff>
      <xdr:row>172</xdr:row>
      <xdr:rowOff>85725</xdr:rowOff>
    </xdr:to>
    <xdr:cxnSp macro="">
      <xdr:nvCxnSpPr>
        <xdr:cNvPr id="4" name="AutoShape 10">
          <a:extLst>
            <a:ext uri="{FF2B5EF4-FFF2-40B4-BE49-F238E27FC236}">
              <a16:creationId xmlns:a16="http://schemas.microsoft.com/office/drawing/2014/main" id="{BDBD90FC-0B8F-4E52-BCDD-C07108C4F95E}"/>
            </a:ext>
          </a:extLst>
        </xdr:cNvPr>
        <xdr:cNvCxnSpPr>
          <a:cxnSpLocks noChangeShapeType="1"/>
        </xdr:cNvCxnSpPr>
      </xdr:nvCxnSpPr>
      <xdr:spPr bwMode="auto">
        <a:xfrm flipV="1">
          <a:off x="76200" y="42300525"/>
          <a:ext cx="9344025" cy="13906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xdr:colOff>
      <xdr:row>181</xdr:row>
      <xdr:rowOff>209550</xdr:rowOff>
    </xdr:from>
    <xdr:to>
      <xdr:col>3</xdr:col>
      <xdr:colOff>1200150</xdr:colOff>
      <xdr:row>187</xdr:row>
      <xdr:rowOff>133350</xdr:rowOff>
    </xdr:to>
    <xdr:cxnSp macro="">
      <xdr:nvCxnSpPr>
        <xdr:cNvPr id="5" name="AutoShape 11">
          <a:extLst>
            <a:ext uri="{FF2B5EF4-FFF2-40B4-BE49-F238E27FC236}">
              <a16:creationId xmlns:a16="http://schemas.microsoft.com/office/drawing/2014/main" id="{D92ADDFB-87D8-43F6-A7A8-24F3146C10C2}"/>
            </a:ext>
          </a:extLst>
        </xdr:cNvPr>
        <xdr:cNvCxnSpPr>
          <a:cxnSpLocks noChangeShapeType="1"/>
        </xdr:cNvCxnSpPr>
      </xdr:nvCxnSpPr>
      <xdr:spPr bwMode="auto">
        <a:xfrm flipV="1">
          <a:off x="57150" y="46015275"/>
          <a:ext cx="9372600" cy="13620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66675</xdr:colOff>
      <xdr:row>193</xdr:row>
      <xdr:rowOff>190500</xdr:rowOff>
    </xdr:from>
    <xdr:to>
      <xdr:col>3</xdr:col>
      <xdr:colOff>1181100</xdr:colOff>
      <xdr:row>199</xdr:row>
      <xdr:rowOff>142875</xdr:rowOff>
    </xdr:to>
    <xdr:cxnSp macro="">
      <xdr:nvCxnSpPr>
        <xdr:cNvPr id="6" name="AutoShape 12">
          <a:extLst>
            <a:ext uri="{FF2B5EF4-FFF2-40B4-BE49-F238E27FC236}">
              <a16:creationId xmlns:a16="http://schemas.microsoft.com/office/drawing/2014/main" id="{27437A8C-DF12-4DB8-A01C-B59314CECDD5}"/>
            </a:ext>
          </a:extLst>
        </xdr:cNvPr>
        <xdr:cNvCxnSpPr>
          <a:cxnSpLocks noChangeShapeType="1"/>
        </xdr:cNvCxnSpPr>
      </xdr:nvCxnSpPr>
      <xdr:spPr bwMode="auto">
        <a:xfrm flipV="1">
          <a:off x="66675" y="48920400"/>
          <a:ext cx="9344025" cy="13906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207</xdr:row>
      <xdr:rowOff>9525</xdr:rowOff>
    </xdr:from>
    <xdr:to>
      <xdr:col>3</xdr:col>
      <xdr:colOff>1114425</xdr:colOff>
      <xdr:row>214</xdr:row>
      <xdr:rowOff>0</xdr:rowOff>
    </xdr:to>
    <xdr:cxnSp macro="">
      <xdr:nvCxnSpPr>
        <xdr:cNvPr id="7" name="AutoShape 13">
          <a:extLst>
            <a:ext uri="{FF2B5EF4-FFF2-40B4-BE49-F238E27FC236}">
              <a16:creationId xmlns:a16="http://schemas.microsoft.com/office/drawing/2014/main" id="{D4329A52-2405-4287-9107-F1E804113EDE}"/>
            </a:ext>
          </a:extLst>
        </xdr:cNvPr>
        <xdr:cNvCxnSpPr>
          <a:cxnSpLocks noChangeShapeType="1"/>
        </xdr:cNvCxnSpPr>
      </xdr:nvCxnSpPr>
      <xdr:spPr bwMode="auto">
        <a:xfrm flipV="1">
          <a:off x="0" y="52111275"/>
          <a:ext cx="9344025" cy="1657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66675</xdr:colOff>
      <xdr:row>219</xdr:row>
      <xdr:rowOff>161925</xdr:rowOff>
    </xdr:from>
    <xdr:to>
      <xdr:col>3</xdr:col>
      <xdr:colOff>1190625</xdr:colOff>
      <xdr:row>225</xdr:row>
      <xdr:rowOff>228600</xdr:rowOff>
    </xdr:to>
    <xdr:cxnSp macro="">
      <xdr:nvCxnSpPr>
        <xdr:cNvPr id="8" name="AutoShape 14">
          <a:extLst>
            <a:ext uri="{FF2B5EF4-FFF2-40B4-BE49-F238E27FC236}">
              <a16:creationId xmlns:a16="http://schemas.microsoft.com/office/drawing/2014/main" id="{89F2A808-14DD-4224-A01D-CA7C36A943D5}"/>
            </a:ext>
          </a:extLst>
        </xdr:cNvPr>
        <xdr:cNvCxnSpPr>
          <a:cxnSpLocks noChangeShapeType="1"/>
        </xdr:cNvCxnSpPr>
      </xdr:nvCxnSpPr>
      <xdr:spPr bwMode="auto">
        <a:xfrm flipV="1">
          <a:off x="66675" y="55168800"/>
          <a:ext cx="9353550" cy="15049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233</xdr:row>
      <xdr:rowOff>9525</xdr:rowOff>
    </xdr:from>
    <xdr:to>
      <xdr:col>3</xdr:col>
      <xdr:colOff>1114425</xdr:colOff>
      <xdr:row>237</xdr:row>
      <xdr:rowOff>95250</xdr:rowOff>
    </xdr:to>
    <xdr:cxnSp macro="">
      <xdr:nvCxnSpPr>
        <xdr:cNvPr id="9" name="AutoShape 15">
          <a:extLst>
            <a:ext uri="{FF2B5EF4-FFF2-40B4-BE49-F238E27FC236}">
              <a16:creationId xmlns:a16="http://schemas.microsoft.com/office/drawing/2014/main" id="{08C2F74A-B408-4DC7-997F-E64740841794}"/>
            </a:ext>
          </a:extLst>
        </xdr:cNvPr>
        <xdr:cNvCxnSpPr>
          <a:cxnSpLocks noChangeShapeType="1"/>
        </xdr:cNvCxnSpPr>
      </xdr:nvCxnSpPr>
      <xdr:spPr bwMode="auto">
        <a:xfrm flipV="1">
          <a:off x="0" y="58416825"/>
          <a:ext cx="9344025" cy="10382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66675</xdr:colOff>
      <xdr:row>273</xdr:row>
      <xdr:rowOff>28575</xdr:rowOff>
    </xdr:from>
    <xdr:to>
      <xdr:col>3</xdr:col>
      <xdr:colOff>1209675</xdr:colOff>
      <xdr:row>279</xdr:row>
      <xdr:rowOff>57150</xdr:rowOff>
    </xdr:to>
    <xdr:cxnSp macro="">
      <xdr:nvCxnSpPr>
        <xdr:cNvPr id="10" name="AutoShape 16">
          <a:extLst>
            <a:ext uri="{FF2B5EF4-FFF2-40B4-BE49-F238E27FC236}">
              <a16:creationId xmlns:a16="http://schemas.microsoft.com/office/drawing/2014/main" id="{624B9661-0D5B-4912-8320-0524B56638FA}"/>
            </a:ext>
          </a:extLst>
        </xdr:cNvPr>
        <xdr:cNvCxnSpPr>
          <a:cxnSpLocks noChangeShapeType="1"/>
        </xdr:cNvCxnSpPr>
      </xdr:nvCxnSpPr>
      <xdr:spPr bwMode="auto">
        <a:xfrm flipV="1">
          <a:off x="66675" y="68189475"/>
          <a:ext cx="9372600" cy="18097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281</xdr:row>
      <xdr:rowOff>0</xdr:rowOff>
    </xdr:from>
    <xdr:to>
      <xdr:col>3</xdr:col>
      <xdr:colOff>1114425</xdr:colOff>
      <xdr:row>284</xdr:row>
      <xdr:rowOff>19050</xdr:rowOff>
    </xdr:to>
    <xdr:cxnSp macro="">
      <xdr:nvCxnSpPr>
        <xdr:cNvPr id="11" name="AutoShape 17">
          <a:extLst>
            <a:ext uri="{FF2B5EF4-FFF2-40B4-BE49-F238E27FC236}">
              <a16:creationId xmlns:a16="http://schemas.microsoft.com/office/drawing/2014/main" id="{924502A4-FFD8-4B25-8C9E-D7EF50958922}"/>
            </a:ext>
          </a:extLst>
        </xdr:cNvPr>
        <xdr:cNvCxnSpPr>
          <a:cxnSpLocks noChangeShapeType="1"/>
        </xdr:cNvCxnSpPr>
      </xdr:nvCxnSpPr>
      <xdr:spPr bwMode="auto">
        <a:xfrm flipV="1">
          <a:off x="0" y="70437375"/>
          <a:ext cx="9344025" cy="1238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299</xdr:row>
      <xdr:rowOff>38100</xdr:rowOff>
    </xdr:from>
    <xdr:to>
      <xdr:col>3</xdr:col>
      <xdr:colOff>1133475</xdr:colOff>
      <xdr:row>302</xdr:row>
      <xdr:rowOff>104775</xdr:rowOff>
    </xdr:to>
    <xdr:cxnSp macro="">
      <xdr:nvCxnSpPr>
        <xdr:cNvPr id="12" name="AutoShape 18">
          <a:extLst>
            <a:ext uri="{FF2B5EF4-FFF2-40B4-BE49-F238E27FC236}">
              <a16:creationId xmlns:a16="http://schemas.microsoft.com/office/drawing/2014/main" id="{0E43733A-04A7-4431-89C8-1A6EE067686D}"/>
            </a:ext>
          </a:extLst>
        </xdr:cNvPr>
        <xdr:cNvCxnSpPr>
          <a:cxnSpLocks noChangeShapeType="1"/>
        </xdr:cNvCxnSpPr>
      </xdr:nvCxnSpPr>
      <xdr:spPr bwMode="auto">
        <a:xfrm flipV="1">
          <a:off x="0" y="75285600"/>
          <a:ext cx="9363075" cy="781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66675</xdr:colOff>
      <xdr:row>337</xdr:row>
      <xdr:rowOff>200025</xdr:rowOff>
    </xdr:from>
    <xdr:to>
      <xdr:col>2</xdr:col>
      <xdr:colOff>2619375</xdr:colOff>
      <xdr:row>341</xdr:row>
      <xdr:rowOff>9525</xdr:rowOff>
    </xdr:to>
    <xdr:cxnSp macro="">
      <xdr:nvCxnSpPr>
        <xdr:cNvPr id="13" name="AutoShape 19">
          <a:extLst>
            <a:ext uri="{FF2B5EF4-FFF2-40B4-BE49-F238E27FC236}">
              <a16:creationId xmlns:a16="http://schemas.microsoft.com/office/drawing/2014/main" id="{70253961-A5B1-4513-8BCE-E0F3B6C7165D}"/>
            </a:ext>
          </a:extLst>
        </xdr:cNvPr>
        <xdr:cNvCxnSpPr>
          <a:cxnSpLocks noChangeShapeType="1"/>
        </xdr:cNvCxnSpPr>
      </xdr:nvCxnSpPr>
      <xdr:spPr bwMode="auto">
        <a:xfrm flipV="1">
          <a:off x="66675" y="84715350"/>
          <a:ext cx="8039100"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348</xdr:row>
      <xdr:rowOff>28575</xdr:rowOff>
    </xdr:from>
    <xdr:to>
      <xdr:col>3</xdr:col>
      <xdr:colOff>1123950</xdr:colOff>
      <xdr:row>351</xdr:row>
      <xdr:rowOff>95250</xdr:rowOff>
    </xdr:to>
    <xdr:cxnSp macro="">
      <xdr:nvCxnSpPr>
        <xdr:cNvPr id="14" name="AutoShape 20">
          <a:extLst>
            <a:ext uri="{FF2B5EF4-FFF2-40B4-BE49-F238E27FC236}">
              <a16:creationId xmlns:a16="http://schemas.microsoft.com/office/drawing/2014/main" id="{E3449565-CA09-4CD5-B798-3F0DF73DF07B}"/>
            </a:ext>
          </a:extLst>
        </xdr:cNvPr>
        <xdr:cNvCxnSpPr>
          <a:cxnSpLocks noChangeShapeType="1"/>
        </xdr:cNvCxnSpPr>
      </xdr:nvCxnSpPr>
      <xdr:spPr bwMode="auto">
        <a:xfrm flipV="1">
          <a:off x="0" y="87201375"/>
          <a:ext cx="9353550" cy="781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357</xdr:row>
      <xdr:rowOff>9525</xdr:rowOff>
    </xdr:from>
    <xdr:to>
      <xdr:col>3</xdr:col>
      <xdr:colOff>1114425</xdr:colOff>
      <xdr:row>359</xdr:row>
      <xdr:rowOff>104775</xdr:rowOff>
    </xdr:to>
    <xdr:cxnSp macro="">
      <xdr:nvCxnSpPr>
        <xdr:cNvPr id="15" name="AutoShape 21">
          <a:extLst>
            <a:ext uri="{FF2B5EF4-FFF2-40B4-BE49-F238E27FC236}">
              <a16:creationId xmlns:a16="http://schemas.microsoft.com/office/drawing/2014/main" id="{15F2663F-6D2D-41E9-8B31-71C356334DBE}"/>
            </a:ext>
          </a:extLst>
        </xdr:cNvPr>
        <xdr:cNvCxnSpPr>
          <a:cxnSpLocks noChangeShapeType="1"/>
        </xdr:cNvCxnSpPr>
      </xdr:nvCxnSpPr>
      <xdr:spPr bwMode="auto">
        <a:xfrm flipV="1">
          <a:off x="0" y="89382600"/>
          <a:ext cx="9344025" cy="571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704850</xdr:colOff>
      <xdr:row>4</xdr:row>
      <xdr:rowOff>114300</xdr:rowOff>
    </xdr:from>
    <xdr:to>
      <xdr:col>0</xdr:col>
      <xdr:colOff>1695450</xdr:colOff>
      <xdr:row>5</xdr:row>
      <xdr:rowOff>142875</xdr:rowOff>
    </xdr:to>
    <xdr:sp macro="" textlink="">
      <xdr:nvSpPr>
        <xdr:cNvPr id="16" name="Oval 22">
          <a:extLst>
            <a:ext uri="{FF2B5EF4-FFF2-40B4-BE49-F238E27FC236}">
              <a16:creationId xmlns:a16="http://schemas.microsoft.com/office/drawing/2014/main" id="{8BC9A2C5-AA72-4963-8323-0D7F2ABA47B4}"/>
            </a:ext>
          </a:extLst>
        </xdr:cNvPr>
        <xdr:cNvSpPr>
          <a:spLocks noChangeArrowheads="1"/>
        </xdr:cNvSpPr>
      </xdr:nvSpPr>
      <xdr:spPr bwMode="auto">
        <a:xfrm>
          <a:off x="704850" y="1066800"/>
          <a:ext cx="990600"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1219200</xdr:colOff>
      <xdr:row>20</xdr:row>
      <xdr:rowOff>0</xdr:rowOff>
    </xdr:from>
    <xdr:to>
      <xdr:col>3</xdr:col>
      <xdr:colOff>1295400</xdr:colOff>
      <xdr:row>20</xdr:row>
      <xdr:rowOff>82550</xdr:rowOff>
    </xdr:to>
    <xdr:sp macro="" textlink="">
      <xdr:nvSpPr>
        <xdr:cNvPr id="2" name="Text Box 1">
          <a:extLst>
            <a:ext uri="{FF2B5EF4-FFF2-40B4-BE49-F238E27FC236}">
              <a16:creationId xmlns:a16="http://schemas.microsoft.com/office/drawing/2014/main" id="{41066EE9-6728-4455-A0FC-1338245D2313}"/>
            </a:ext>
          </a:extLst>
        </xdr:cNvPr>
        <xdr:cNvSpPr txBox="1">
          <a:spLocks noChangeArrowheads="1"/>
        </xdr:cNvSpPr>
      </xdr:nvSpPr>
      <xdr:spPr bwMode="auto">
        <a:xfrm>
          <a:off x="3952875" y="7705725"/>
          <a:ext cx="76200"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1219200</xdr:colOff>
      <xdr:row>20</xdr:row>
      <xdr:rowOff>0</xdr:rowOff>
    </xdr:from>
    <xdr:to>
      <xdr:col>4</xdr:col>
      <xdr:colOff>73025</xdr:colOff>
      <xdr:row>20</xdr:row>
      <xdr:rowOff>82550</xdr:rowOff>
    </xdr:to>
    <xdr:sp macro="" textlink="">
      <xdr:nvSpPr>
        <xdr:cNvPr id="3" name="Text Box 1">
          <a:extLst>
            <a:ext uri="{FF2B5EF4-FFF2-40B4-BE49-F238E27FC236}">
              <a16:creationId xmlns:a16="http://schemas.microsoft.com/office/drawing/2014/main" id="{3458723A-3387-422C-89F8-2C20336FF393}"/>
            </a:ext>
          </a:extLst>
        </xdr:cNvPr>
        <xdr:cNvSpPr txBox="1">
          <a:spLocks noChangeArrowheads="1"/>
        </xdr:cNvSpPr>
      </xdr:nvSpPr>
      <xdr:spPr bwMode="auto">
        <a:xfrm>
          <a:off x="3952875" y="7705725"/>
          <a:ext cx="387350"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1219200</xdr:colOff>
      <xdr:row>38</xdr:row>
      <xdr:rowOff>0</xdr:rowOff>
    </xdr:from>
    <xdr:to>
      <xdr:col>1</xdr:col>
      <xdr:colOff>1219200</xdr:colOff>
      <xdr:row>38</xdr:row>
      <xdr:rowOff>82550</xdr:rowOff>
    </xdr:to>
    <xdr:sp macro="" textlink="">
      <xdr:nvSpPr>
        <xdr:cNvPr id="12" name="Text Box 1">
          <a:extLst>
            <a:ext uri="{FF2B5EF4-FFF2-40B4-BE49-F238E27FC236}">
              <a16:creationId xmlns:a16="http://schemas.microsoft.com/office/drawing/2014/main" id="{8BD37907-35A7-4FD2-9983-EA14DB001F2B}"/>
            </a:ext>
          </a:extLst>
        </xdr:cNvPr>
        <xdr:cNvSpPr txBox="1">
          <a:spLocks noChangeArrowheads="1"/>
        </xdr:cNvSpPr>
      </xdr:nvSpPr>
      <xdr:spPr bwMode="auto">
        <a:xfrm>
          <a:off x="1343025" y="2238375"/>
          <a:ext cx="0"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1219200</xdr:colOff>
      <xdr:row>26</xdr:row>
      <xdr:rowOff>0</xdr:rowOff>
    </xdr:from>
    <xdr:to>
      <xdr:col>1</xdr:col>
      <xdr:colOff>1219200</xdr:colOff>
      <xdr:row>26</xdr:row>
      <xdr:rowOff>95250</xdr:rowOff>
    </xdr:to>
    <xdr:sp macro="" textlink="">
      <xdr:nvSpPr>
        <xdr:cNvPr id="13" name="Text Box 1">
          <a:extLst>
            <a:ext uri="{FF2B5EF4-FFF2-40B4-BE49-F238E27FC236}">
              <a16:creationId xmlns:a16="http://schemas.microsoft.com/office/drawing/2014/main" id="{AD214F5D-225A-48F6-B3AC-E80B290496C5}"/>
            </a:ext>
          </a:extLst>
        </xdr:cNvPr>
        <xdr:cNvSpPr txBox="1">
          <a:spLocks noChangeArrowheads="1"/>
        </xdr:cNvSpPr>
      </xdr:nvSpPr>
      <xdr:spPr bwMode="auto">
        <a:xfrm>
          <a:off x="1343025" y="17145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1219200</xdr:colOff>
      <xdr:row>26</xdr:row>
      <xdr:rowOff>0</xdr:rowOff>
    </xdr:from>
    <xdr:ext cx="0" cy="85725"/>
    <xdr:sp macro="" textlink="">
      <xdr:nvSpPr>
        <xdr:cNvPr id="14" name="Text Box 1">
          <a:extLst>
            <a:ext uri="{FF2B5EF4-FFF2-40B4-BE49-F238E27FC236}">
              <a16:creationId xmlns:a16="http://schemas.microsoft.com/office/drawing/2014/main" id="{AB6E5CC8-AAD6-49E7-94B6-286614EB026E}"/>
            </a:ext>
          </a:extLst>
        </xdr:cNvPr>
        <xdr:cNvSpPr txBox="1">
          <a:spLocks noChangeArrowheads="1"/>
        </xdr:cNvSpPr>
      </xdr:nvSpPr>
      <xdr:spPr bwMode="auto">
        <a:xfrm>
          <a:off x="1343025" y="171450"/>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1219200</xdr:colOff>
      <xdr:row>35</xdr:row>
      <xdr:rowOff>0</xdr:rowOff>
    </xdr:from>
    <xdr:ext cx="0" cy="85725"/>
    <xdr:sp macro="" textlink="">
      <xdr:nvSpPr>
        <xdr:cNvPr id="15" name="Text Box 1">
          <a:extLst>
            <a:ext uri="{FF2B5EF4-FFF2-40B4-BE49-F238E27FC236}">
              <a16:creationId xmlns:a16="http://schemas.microsoft.com/office/drawing/2014/main" id="{667B3777-B8B4-4EF3-94CB-C4C55F0F6039}"/>
            </a:ext>
          </a:extLst>
        </xdr:cNvPr>
        <xdr:cNvSpPr txBox="1">
          <a:spLocks noChangeArrowheads="1"/>
        </xdr:cNvSpPr>
      </xdr:nvSpPr>
      <xdr:spPr bwMode="auto">
        <a:xfrm>
          <a:off x="1343025" y="1676400"/>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1219200</xdr:colOff>
      <xdr:row>26</xdr:row>
      <xdr:rowOff>0</xdr:rowOff>
    </xdr:from>
    <xdr:to>
      <xdr:col>1</xdr:col>
      <xdr:colOff>1219200</xdr:colOff>
      <xdr:row>26</xdr:row>
      <xdr:rowOff>95250</xdr:rowOff>
    </xdr:to>
    <xdr:sp macro="" textlink="">
      <xdr:nvSpPr>
        <xdr:cNvPr id="16" name="Text Box 1">
          <a:extLst>
            <a:ext uri="{FF2B5EF4-FFF2-40B4-BE49-F238E27FC236}">
              <a16:creationId xmlns:a16="http://schemas.microsoft.com/office/drawing/2014/main" id="{859D66E7-0EE3-498A-BBD7-68CB7FE85A4F}"/>
            </a:ext>
          </a:extLst>
        </xdr:cNvPr>
        <xdr:cNvSpPr txBox="1">
          <a:spLocks noChangeArrowheads="1"/>
        </xdr:cNvSpPr>
      </xdr:nvSpPr>
      <xdr:spPr bwMode="auto">
        <a:xfrm>
          <a:off x="1343025" y="171450"/>
          <a:ext cx="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1219200</xdr:colOff>
      <xdr:row>26</xdr:row>
      <xdr:rowOff>0</xdr:rowOff>
    </xdr:from>
    <xdr:ext cx="0" cy="85725"/>
    <xdr:sp macro="" textlink="">
      <xdr:nvSpPr>
        <xdr:cNvPr id="17" name="Text Box 1">
          <a:extLst>
            <a:ext uri="{FF2B5EF4-FFF2-40B4-BE49-F238E27FC236}">
              <a16:creationId xmlns:a16="http://schemas.microsoft.com/office/drawing/2014/main" id="{22D8504D-5E30-41DA-A03E-083AB6955EC3}"/>
            </a:ext>
          </a:extLst>
        </xdr:cNvPr>
        <xdr:cNvSpPr txBox="1">
          <a:spLocks noChangeArrowheads="1"/>
        </xdr:cNvSpPr>
      </xdr:nvSpPr>
      <xdr:spPr bwMode="auto">
        <a:xfrm>
          <a:off x="1343025" y="171450"/>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1219200</xdr:colOff>
      <xdr:row>35</xdr:row>
      <xdr:rowOff>0</xdr:rowOff>
    </xdr:from>
    <xdr:ext cx="0" cy="85725"/>
    <xdr:sp macro="" textlink="">
      <xdr:nvSpPr>
        <xdr:cNvPr id="18" name="Text Box 1">
          <a:extLst>
            <a:ext uri="{FF2B5EF4-FFF2-40B4-BE49-F238E27FC236}">
              <a16:creationId xmlns:a16="http://schemas.microsoft.com/office/drawing/2014/main" id="{3ED83C73-924C-484E-8409-E6215F1C4EFF}"/>
            </a:ext>
          </a:extLst>
        </xdr:cNvPr>
        <xdr:cNvSpPr txBox="1">
          <a:spLocks noChangeArrowheads="1"/>
        </xdr:cNvSpPr>
      </xdr:nvSpPr>
      <xdr:spPr bwMode="auto">
        <a:xfrm>
          <a:off x="1343025" y="1676400"/>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1219200</xdr:colOff>
      <xdr:row>30</xdr:row>
      <xdr:rowOff>0</xdr:rowOff>
    </xdr:from>
    <xdr:to>
      <xdr:col>3</xdr:col>
      <xdr:colOff>6817</xdr:colOff>
      <xdr:row>30</xdr:row>
      <xdr:rowOff>107156</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181225" y="7629525"/>
          <a:ext cx="730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71438</xdr:colOff>
      <xdr:row>0</xdr:row>
      <xdr:rowOff>47626</xdr:rowOff>
    </xdr:from>
    <xdr:to>
      <xdr:col>13</xdr:col>
      <xdr:colOff>66330</xdr:colOff>
      <xdr:row>6</xdr:row>
      <xdr:rowOff>209378</xdr:rowOff>
    </xdr:to>
    <xdr:pic>
      <xdr:nvPicPr>
        <xdr:cNvPr id="3" name="図 2">
          <a:extLst>
            <a:ext uri="{FF2B5EF4-FFF2-40B4-BE49-F238E27FC236}">
              <a16:creationId xmlns:a16="http://schemas.microsoft.com/office/drawing/2014/main" id="{40087F12-C0D7-4AA7-B15E-82153A8B8BD4}"/>
            </a:ext>
          </a:extLst>
        </xdr:cNvPr>
        <xdr:cNvPicPr>
          <a:picLocks noChangeAspect="1"/>
        </xdr:cNvPicPr>
      </xdr:nvPicPr>
      <xdr:blipFill>
        <a:blip xmlns:r="http://schemas.openxmlformats.org/officeDocument/2006/relationships" r:embed="rId1"/>
        <a:stretch>
          <a:fillRect/>
        </a:stretch>
      </xdr:blipFill>
      <xdr:spPr>
        <a:xfrm>
          <a:off x="7747001" y="47626"/>
          <a:ext cx="3058767" cy="2053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106123</xdr:colOff>
      <xdr:row>0</xdr:row>
      <xdr:rowOff>0</xdr:rowOff>
    </xdr:from>
    <xdr:to>
      <xdr:col>15</xdr:col>
      <xdr:colOff>39687</xdr:colOff>
      <xdr:row>13</xdr:row>
      <xdr:rowOff>67395</xdr:rowOff>
    </xdr:to>
    <xdr:pic>
      <xdr:nvPicPr>
        <xdr:cNvPr id="2" name="図 1">
          <a:extLst>
            <a:ext uri="{FF2B5EF4-FFF2-40B4-BE49-F238E27FC236}">
              <a16:creationId xmlns:a16="http://schemas.microsoft.com/office/drawing/2014/main" id="{76095987-D2D9-4071-90D0-1FBC2FC100A5}"/>
            </a:ext>
          </a:extLst>
        </xdr:cNvPr>
        <xdr:cNvPicPr>
          <a:picLocks noChangeAspect="1"/>
        </xdr:cNvPicPr>
      </xdr:nvPicPr>
      <xdr:blipFill>
        <a:blip xmlns:r="http://schemas.openxmlformats.org/officeDocument/2006/relationships" r:embed="rId1"/>
        <a:stretch>
          <a:fillRect/>
        </a:stretch>
      </xdr:blipFill>
      <xdr:spPr>
        <a:xfrm>
          <a:off x="7781686" y="0"/>
          <a:ext cx="4362689" cy="31439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1219200</xdr:colOff>
      <xdr:row>14</xdr:row>
      <xdr:rowOff>0</xdr:rowOff>
    </xdr:from>
    <xdr:to>
      <xdr:col>2</xdr:col>
      <xdr:colOff>1304130</xdr:colOff>
      <xdr:row>14</xdr:row>
      <xdr:rowOff>82550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647950" y="5905500"/>
          <a:ext cx="7620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1219200</xdr:colOff>
      <xdr:row>14</xdr:row>
      <xdr:rowOff>0</xdr:rowOff>
    </xdr:from>
    <xdr:to>
      <xdr:col>3</xdr:col>
      <xdr:colOff>87312</xdr:colOff>
      <xdr:row>14</xdr:row>
      <xdr:rowOff>82550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209800" y="4295775"/>
          <a:ext cx="730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1219200</xdr:colOff>
      <xdr:row>13</xdr:row>
      <xdr:rowOff>0</xdr:rowOff>
    </xdr:from>
    <xdr:to>
      <xdr:col>1</xdr:col>
      <xdr:colOff>1219200</xdr:colOff>
      <xdr:row>13</xdr:row>
      <xdr:rowOff>85725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343025" y="2466975"/>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47627</xdr:colOff>
      <xdr:row>1</xdr:row>
      <xdr:rowOff>220843</xdr:rowOff>
    </xdr:from>
    <xdr:to>
      <xdr:col>18</xdr:col>
      <xdr:colOff>119064</xdr:colOff>
      <xdr:row>15</xdr:row>
      <xdr:rowOff>58035</xdr:rowOff>
    </xdr:to>
    <xdr:pic>
      <xdr:nvPicPr>
        <xdr:cNvPr id="3" name="図 2">
          <a:extLst>
            <a:ext uri="{FF2B5EF4-FFF2-40B4-BE49-F238E27FC236}">
              <a16:creationId xmlns:a16="http://schemas.microsoft.com/office/drawing/2014/main" id="{F2B9AC3E-37A7-42F6-859A-A98A3D5DC55F}"/>
            </a:ext>
          </a:extLst>
        </xdr:cNvPr>
        <xdr:cNvPicPr>
          <a:picLocks noChangeAspect="1"/>
        </xdr:cNvPicPr>
      </xdr:nvPicPr>
      <xdr:blipFill>
        <a:blip xmlns:r="http://schemas.openxmlformats.org/officeDocument/2006/relationships" r:embed="rId1"/>
        <a:stretch>
          <a:fillRect/>
        </a:stretch>
      </xdr:blipFill>
      <xdr:spPr>
        <a:xfrm>
          <a:off x="9489283" y="387531"/>
          <a:ext cx="5238750" cy="3563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718633</xdr:colOff>
      <xdr:row>0</xdr:row>
      <xdr:rowOff>79375</xdr:rowOff>
    </xdr:from>
    <xdr:to>
      <xdr:col>15</xdr:col>
      <xdr:colOff>139075</xdr:colOff>
      <xdr:row>7</xdr:row>
      <xdr:rowOff>270752</xdr:rowOff>
    </xdr:to>
    <xdr:pic>
      <xdr:nvPicPr>
        <xdr:cNvPr id="3" name="図 2">
          <a:extLst>
            <a:ext uri="{FF2B5EF4-FFF2-40B4-BE49-F238E27FC236}">
              <a16:creationId xmlns:a16="http://schemas.microsoft.com/office/drawing/2014/main" id="{988BABE2-7BF4-49D9-9437-1CBC3482C5AB}"/>
            </a:ext>
          </a:extLst>
        </xdr:cNvPr>
        <xdr:cNvPicPr>
          <a:picLocks noChangeAspect="1"/>
        </xdr:cNvPicPr>
      </xdr:nvPicPr>
      <xdr:blipFill>
        <a:blip xmlns:r="http://schemas.openxmlformats.org/officeDocument/2006/relationships" r:embed="rId1"/>
        <a:stretch>
          <a:fillRect/>
        </a:stretch>
      </xdr:blipFill>
      <xdr:spPr>
        <a:xfrm>
          <a:off x="7862383" y="79375"/>
          <a:ext cx="4024192" cy="2683752"/>
        </a:xfrm>
        <a:prstGeom prst="rect">
          <a:avLst/>
        </a:prstGeom>
      </xdr:spPr>
    </xdr:pic>
    <xdr:clientData/>
  </xdr:twoCellAnchor>
  <xdr:twoCellAnchor editAs="oneCell">
    <xdr:from>
      <xdr:col>17</xdr:col>
      <xdr:colOff>50681</xdr:colOff>
      <xdr:row>0</xdr:row>
      <xdr:rowOff>35718</xdr:rowOff>
    </xdr:from>
    <xdr:to>
      <xdr:col>23</xdr:col>
      <xdr:colOff>52708</xdr:colOff>
      <xdr:row>7</xdr:row>
      <xdr:rowOff>142875</xdr:rowOff>
    </xdr:to>
    <xdr:pic>
      <xdr:nvPicPr>
        <xdr:cNvPr id="4" name="図 3">
          <a:extLst>
            <a:ext uri="{FF2B5EF4-FFF2-40B4-BE49-F238E27FC236}">
              <a16:creationId xmlns:a16="http://schemas.microsoft.com/office/drawing/2014/main" id="{A141DED9-924E-42F5-A70D-9137EDAECB57}"/>
            </a:ext>
          </a:extLst>
        </xdr:cNvPr>
        <xdr:cNvPicPr>
          <a:picLocks noChangeAspect="1"/>
        </xdr:cNvPicPr>
      </xdr:nvPicPr>
      <xdr:blipFill>
        <a:blip xmlns:r="http://schemas.openxmlformats.org/officeDocument/2006/relationships" r:embed="rId2"/>
        <a:stretch>
          <a:fillRect/>
        </a:stretch>
      </xdr:blipFill>
      <xdr:spPr>
        <a:xfrm>
          <a:off x="13163431" y="35718"/>
          <a:ext cx="4097777" cy="25995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1219200</xdr:colOff>
      <xdr:row>17</xdr:row>
      <xdr:rowOff>0</xdr:rowOff>
    </xdr:from>
    <xdr:to>
      <xdr:col>2</xdr:col>
      <xdr:colOff>1219200</xdr:colOff>
      <xdr:row>17</xdr:row>
      <xdr:rowOff>84455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647950" y="6115050"/>
          <a:ext cx="7620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1219200</xdr:colOff>
      <xdr:row>17</xdr:row>
      <xdr:rowOff>0</xdr:rowOff>
    </xdr:from>
    <xdr:to>
      <xdr:col>2</xdr:col>
      <xdr:colOff>1292225</xdr:colOff>
      <xdr:row>17</xdr:row>
      <xdr:rowOff>84455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2647950" y="6115050"/>
          <a:ext cx="38735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1219200</xdr:colOff>
      <xdr:row>10</xdr:row>
      <xdr:rowOff>0</xdr:rowOff>
    </xdr:from>
    <xdr:to>
      <xdr:col>1</xdr:col>
      <xdr:colOff>1219200</xdr:colOff>
      <xdr:row>10</xdr:row>
      <xdr:rowOff>82550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343025" y="2466975"/>
          <a:ext cx="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1219200</xdr:colOff>
      <xdr:row>11</xdr:row>
      <xdr:rowOff>0</xdr:rowOff>
    </xdr:from>
    <xdr:to>
      <xdr:col>3</xdr:col>
      <xdr:colOff>96837</xdr:colOff>
      <xdr:row>11</xdr:row>
      <xdr:rowOff>95250</xdr:rowOff>
    </xdr:to>
    <xdr:sp macro="" textlink="">
      <xdr:nvSpPr>
        <xdr:cNvPr id="2" name="Text Box 1">
          <a:extLst>
            <a:ext uri="{FF2B5EF4-FFF2-40B4-BE49-F238E27FC236}">
              <a16:creationId xmlns:a16="http://schemas.microsoft.com/office/drawing/2014/main" id="{17EEED31-6CDC-4011-8ED8-C8B94A782AFD}"/>
            </a:ext>
          </a:extLst>
        </xdr:cNvPr>
        <xdr:cNvSpPr txBox="1">
          <a:spLocks noChangeArrowheads="1"/>
        </xdr:cNvSpPr>
      </xdr:nvSpPr>
      <xdr:spPr bwMode="auto">
        <a:xfrm>
          <a:off x="2209800" y="4686300"/>
          <a:ext cx="89217" cy="87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1219200</xdr:colOff>
      <xdr:row>11</xdr:row>
      <xdr:rowOff>0</xdr:rowOff>
    </xdr:from>
    <xdr:to>
      <xdr:col>3</xdr:col>
      <xdr:colOff>210979</xdr:colOff>
      <xdr:row>11</xdr:row>
      <xdr:rowOff>95250</xdr:rowOff>
    </xdr:to>
    <xdr:sp macro="" textlink="">
      <xdr:nvSpPr>
        <xdr:cNvPr id="3" name="Text Box 1">
          <a:extLst>
            <a:ext uri="{FF2B5EF4-FFF2-40B4-BE49-F238E27FC236}">
              <a16:creationId xmlns:a16="http://schemas.microsoft.com/office/drawing/2014/main" id="{2D870509-E8BF-418B-8313-1BA35544E421}"/>
            </a:ext>
          </a:extLst>
        </xdr:cNvPr>
        <xdr:cNvSpPr txBox="1">
          <a:spLocks noChangeArrowheads="1"/>
        </xdr:cNvSpPr>
      </xdr:nvSpPr>
      <xdr:spPr bwMode="auto">
        <a:xfrm>
          <a:off x="2209800" y="4686300"/>
          <a:ext cx="199549" cy="876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1219200</xdr:colOff>
      <xdr:row>13</xdr:row>
      <xdr:rowOff>0</xdr:rowOff>
    </xdr:from>
    <xdr:ext cx="97790" cy="91440"/>
    <xdr:sp macro="" textlink="">
      <xdr:nvSpPr>
        <xdr:cNvPr id="4" name="Text Box 1">
          <a:extLst>
            <a:ext uri="{FF2B5EF4-FFF2-40B4-BE49-F238E27FC236}">
              <a16:creationId xmlns:a16="http://schemas.microsoft.com/office/drawing/2014/main" id="{01FD69B1-8DDE-4B8B-B213-392E54C99B77}"/>
            </a:ext>
          </a:extLst>
        </xdr:cNvPr>
        <xdr:cNvSpPr txBox="1">
          <a:spLocks noChangeArrowheads="1"/>
        </xdr:cNvSpPr>
      </xdr:nvSpPr>
      <xdr:spPr bwMode="auto">
        <a:xfrm>
          <a:off x="2209800" y="3917156"/>
          <a:ext cx="97790" cy="91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1219200</xdr:colOff>
      <xdr:row>13</xdr:row>
      <xdr:rowOff>0</xdr:rowOff>
    </xdr:from>
    <xdr:ext cx="211932" cy="91440"/>
    <xdr:sp macro="" textlink="">
      <xdr:nvSpPr>
        <xdr:cNvPr id="5" name="Text Box 1">
          <a:extLst>
            <a:ext uri="{FF2B5EF4-FFF2-40B4-BE49-F238E27FC236}">
              <a16:creationId xmlns:a16="http://schemas.microsoft.com/office/drawing/2014/main" id="{75B13CCB-A159-4BE0-86A1-F5A86E09DB70}"/>
            </a:ext>
          </a:extLst>
        </xdr:cNvPr>
        <xdr:cNvSpPr txBox="1">
          <a:spLocks noChangeArrowheads="1"/>
        </xdr:cNvSpPr>
      </xdr:nvSpPr>
      <xdr:spPr bwMode="auto">
        <a:xfrm>
          <a:off x="2209800" y="3917156"/>
          <a:ext cx="211932" cy="91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1219200</xdr:colOff>
      <xdr:row>10</xdr:row>
      <xdr:rowOff>0</xdr:rowOff>
    </xdr:from>
    <xdr:ext cx="97790" cy="91440"/>
    <xdr:sp macro="" textlink="">
      <xdr:nvSpPr>
        <xdr:cNvPr id="6" name="Text Box 1">
          <a:extLst>
            <a:ext uri="{FF2B5EF4-FFF2-40B4-BE49-F238E27FC236}">
              <a16:creationId xmlns:a16="http://schemas.microsoft.com/office/drawing/2014/main" id="{C0E93FF2-6FF5-4381-8C2D-A210A0B4AD5E}"/>
            </a:ext>
          </a:extLst>
        </xdr:cNvPr>
        <xdr:cNvSpPr txBox="1">
          <a:spLocks noChangeArrowheads="1"/>
        </xdr:cNvSpPr>
      </xdr:nvSpPr>
      <xdr:spPr bwMode="auto">
        <a:xfrm>
          <a:off x="2209800" y="4667250"/>
          <a:ext cx="97790" cy="91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1219200</xdr:colOff>
      <xdr:row>10</xdr:row>
      <xdr:rowOff>0</xdr:rowOff>
    </xdr:from>
    <xdr:ext cx="211932" cy="91440"/>
    <xdr:sp macro="" textlink="">
      <xdr:nvSpPr>
        <xdr:cNvPr id="7" name="Text Box 1">
          <a:extLst>
            <a:ext uri="{FF2B5EF4-FFF2-40B4-BE49-F238E27FC236}">
              <a16:creationId xmlns:a16="http://schemas.microsoft.com/office/drawing/2014/main" id="{45704FD9-3D09-4F1E-81EC-CA7653667504}"/>
            </a:ext>
          </a:extLst>
        </xdr:cNvPr>
        <xdr:cNvSpPr txBox="1">
          <a:spLocks noChangeArrowheads="1"/>
        </xdr:cNvSpPr>
      </xdr:nvSpPr>
      <xdr:spPr bwMode="auto">
        <a:xfrm>
          <a:off x="2209800" y="4667250"/>
          <a:ext cx="211932" cy="91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1219200</xdr:colOff>
      <xdr:row>13</xdr:row>
      <xdr:rowOff>0</xdr:rowOff>
    </xdr:from>
    <xdr:to>
      <xdr:col>3</xdr:col>
      <xdr:colOff>84137</xdr:colOff>
      <xdr:row>13</xdr:row>
      <xdr:rowOff>82550</xdr:rowOff>
    </xdr:to>
    <xdr:sp macro="" textlink="">
      <xdr:nvSpPr>
        <xdr:cNvPr id="2" name="Text Box 1">
          <a:extLst>
            <a:ext uri="{FF2B5EF4-FFF2-40B4-BE49-F238E27FC236}">
              <a16:creationId xmlns:a16="http://schemas.microsoft.com/office/drawing/2014/main" id="{9A992EEE-FE9D-445B-9424-1D0221E34914}"/>
            </a:ext>
          </a:extLst>
        </xdr:cNvPr>
        <xdr:cNvSpPr txBox="1">
          <a:spLocks noChangeArrowheads="1"/>
        </xdr:cNvSpPr>
      </xdr:nvSpPr>
      <xdr:spPr bwMode="auto">
        <a:xfrm>
          <a:off x="2238375" y="6257925"/>
          <a:ext cx="93662"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1219200</xdr:colOff>
      <xdr:row>13</xdr:row>
      <xdr:rowOff>0</xdr:rowOff>
    </xdr:from>
    <xdr:to>
      <xdr:col>3</xdr:col>
      <xdr:colOff>200819</xdr:colOff>
      <xdr:row>13</xdr:row>
      <xdr:rowOff>82550</xdr:rowOff>
    </xdr:to>
    <xdr:sp macro="" textlink="">
      <xdr:nvSpPr>
        <xdr:cNvPr id="3" name="Text Box 1">
          <a:extLst>
            <a:ext uri="{FF2B5EF4-FFF2-40B4-BE49-F238E27FC236}">
              <a16:creationId xmlns:a16="http://schemas.microsoft.com/office/drawing/2014/main" id="{D4352613-67CA-4A37-93C3-743AAD911695}"/>
            </a:ext>
          </a:extLst>
        </xdr:cNvPr>
        <xdr:cNvSpPr txBox="1">
          <a:spLocks noChangeArrowheads="1"/>
        </xdr:cNvSpPr>
      </xdr:nvSpPr>
      <xdr:spPr bwMode="auto">
        <a:xfrm>
          <a:off x="2238375" y="6257925"/>
          <a:ext cx="210344"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74916</xdr:colOff>
      <xdr:row>0</xdr:row>
      <xdr:rowOff>21166</xdr:rowOff>
    </xdr:from>
    <xdr:to>
      <xdr:col>15</xdr:col>
      <xdr:colOff>680763</xdr:colOff>
      <xdr:row>11</xdr:row>
      <xdr:rowOff>95037</xdr:rowOff>
    </xdr:to>
    <xdr:pic>
      <xdr:nvPicPr>
        <xdr:cNvPr id="2" name="図 1">
          <a:extLst>
            <a:ext uri="{FF2B5EF4-FFF2-40B4-BE49-F238E27FC236}">
              <a16:creationId xmlns:a16="http://schemas.microsoft.com/office/drawing/2014/main" id="{4308EB60-868D-4EF2-BC92-05CD393A9C42}"/>
            </a:ext>
          </a:extLst>
        </xdr:cNvPr>
        <xdr:cNvPicPr>
          <a:picLocks noChangeAspect="1"/>
        </xdr:cNvPicPr>
      </xdr:nvPicPr>
      <xdr:blipFill>
        <a:blip xmlns:r="http://schemas.openxmlformats.org/officeDocument/2006/relationships" r:embed="rId1"/>
        <a:stretch>
          <a:fillRect/>
        </a:stretch>
      </xdr:blipFill>
      <xdr:spPr>
        <a:xfrm>
          <a:off x="7218666" y="21166"/>
          <a:ext cx="5209597" cy="3375871"/>
        </a:xfrm>
        <a:prstGeom prst="rect">
          <a:avLst/>
        </a:prstGeom>
      </xdr:spPr>
    </xdr:pic>
    <xdr:clientData/>
  </xdr:twoCellAnchor>
  <xdr:twoCellAnchor editAs="oneCell">
    <xdr:from>
      <xdr:col>9</xdr:col>
      <xdr:colOff>118040</xdr:colOff>
      <xdr:row>12</xdr:row>
      <xdr:rowOff>126998</xdr:rowOff>
    </xdr:from>
    <xdr:to>
      <xdr:col>15</xdr:col>
      <xdr:colOff>252145</xdr:colOff>
      <xdr:row>28</xdr:row>
      <xdr:rowOff>26230</xdr:rowOff>
    </xdr:to>
    <xdr:pic>
      <xdr:nvPicPr>
        <xdr:cNvPr id="3" name="図 2">
          <a:extLst>
            <a:ext uri="{FF2B5EF4-FFF2-40B4-BE49-F238E27FC236}">
              <a16:creationId xmlns:a16="http://schemas.microsoft.com/office/drawing/2014/main" id="{6A82155E-1863-45C6-9077-B2DFAE2EA904}"/>
            </a:ext>
          </a:extLst>
        </xdr:cNvPr>
        <xdr:cNvPicPr>
          <a:picLocks noChangeAspect="1"/>
        </xdr:cNvPicPr>
      </xdr:nvPicPr>
      <xdr:blipFill>
        <a:blip xmlns:r="http://schemas.openxmlformats.org/officeDocument/2006/relationships" r:embed="rId2"/>
        <a:stretch>
          <a:fillRect/>
        </a:stretch>
      </xdr:blipFill>
      <xdr:spPr>
        <a:xfrm>
          <a:off x="7261790" y="3598331"/>
          <a:ext cx="4759022" cy="3000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C505-1016-4F85-B05C-FCC1B8328F81}">
  <sheetPr>
    <tabColor rgb="FFFF0000"/>
    <pageSetUpPr fitToPage="1"/>
  </sheetPr>
  <dimension ref="B1:T55"/>
  <sheetViews>
    <sheetView tabSelected="1" view="pageBreakPreview" zoomScaleNormal="70" zoomScaleSheetLayoutView="100" workbookViewId="0">
      <selection activeCell="H33" sqref="H33"/>
    </sheetView>
  </sheetViews>
  <sheetFormatPr defaultColWidth="8.7265625" defaultRowHeight="13" outlineLevelCol="1" x14ac:dyDescent="0.2"/>
  <cols>
    <col min="1" max="1" width="1.6328125" style="13" customWidth="1"/>
    <col min="2" max="3" width="17.08984375" style="13" customWidth="1"/>
    <col min="4" max="4" width="20.08984375" style="13" customWidth="1"/>
    <col min="5" max="7" width="20.08984375" style="364" hidden="1" customWidth="1" outlineLevel="1"/>
    <col min="8" max="8" width="21.453125" style="287" customWidth="1" collapsed="1"/>
    <col min="9" max="9" width="11.6328125" style="14" customWidth="1"/>
    <col min="10" max="10" width="6" style="13" customWidth="1"/>
    <col min="11" max="11" width="6.08984375" style="15" customWidth="1"/>
    <col min="12" max="12" width="12.08984375" style="14" bestFit="1" customWidth="1"/>
    <col min="13" max="13" width="76.90625" style="13" customWidth="1"/>
    <col min="14" max="14" width="1.90625" style="13" customWidth="1"/>
    <col min="15" max="15" width="7.6328125" style="13" customWidth="1"/>
    <col min="16" max="16" width="7.6328125" style="13" bestFit="1" customWidth="1"/>
    <col min="17" max="17" width="3.7265625" style="13" bestFit="1" customWidth="1"/>
    <col min="18" max="18" width="12.453125" style="13" customWidth="1"/>
    <col min="19" max="19" width="12.08984375" style="13" customWidth="1"/>
    <col min="20" max="20" width="2.90625" style="13" bestFit="1" customWidth="1"/>
    <col min="21" max="16384" width="8.7265625" style="13"/>
  </cols>
  <sheetData>
    <row r="1" spans="2:19" s="1" customFormat="1" ht="25.5" customHeight="1" x14ac:dyDescent="0.2">
      <c r="B1" s="28" t="s">
        <v>570</v>
      </c>
      <c r="C1" s="28"/>
      <c r="E1" s="363"/>
      <c r="F1" s="363"/>
      <c r="G1" s="363"/>
      <c r="H1" s="369"/>
      <c r="I1" s="2"/>
      <c r="K1" s="3"/>
      <c r="L1" s="2"/>
      <c r="P1" s="13"/>
      <c r="Q1" s="13"/>
      <c r="R1" s="15"/>
      <c r="S1" s="15"/>
    </row>
    <row r="2" spans="2:19" ht="66.650000000000006" customHeight="1" x14ac:dyDescent="0.2">
      <c r="B2" s="381" t="s">
        <v>572</v>
      </c>
      <c r="C2" s="382"/>
      <c r="D2" s="382"/>
      <c r="E2" s="382"/>
      <c r="F2" s="382"/>
      <c r="G2" s="382"/>
      <c r="H2" s="382"/>
      <c r="I2" s="382"/>
      <c r="J2" s="382"/>
      <c r="K2" s="382"/>
      <c r="L2" s="382"/>
      <c r="M2" s="383"/>
    </row>
    <row r="3" spans="2:19" x14ac:dyDescent="0.2">
      <c r="M3" s="16"/>
    </row>
    <row r="4" spans="2:19" s="15" customFormat="1" ht="30" customHeight="1" x14ac:dyDescent="0.2">
      <c r="B4" s="23" t="s">
        <v>0</v>
      </c>
      <c r="C4" s="105"/>
      <c r="D4" s="23" t="s">
        <v>36</v>
      </c>
      <c r="E4" s="380" t="s">
        <v>547</v>
      </c>
      <c r="F4" s="380" t="s">
        <v>548</v>
      </c>
      <c r="G4" s="380" t="s">
        <v>549</v>
      </c>
      <c r="H4" s="23" t="s">
        <v>1</v>
      </c>
      <c r="I4" s="235" t="s">
        <v>541</v>
      </c>
      <c r="J4" s="23" t="s">
        <v>3</v>
      </c>
      <c r="K4" s="23" t="s">
        <v>4</v>
      </c>
      <c r="L4" s="235" t="s">
        <v>5</v>
      </c>
      <c r="M4" s="23" t="s">
        <v>6</v>
      </c>
      <c r="P4" s="13"/>
      <c r="Q4" s="13"/>
    </row>
    <row r="5" spans="2:19" ht="43.5" customHeight="1" x14ac:dyDescent="0.2">
      <c r="B5" s="386" t="s">
        <v>71</v>
      </c>
      <c r="C5" s="384" t="s">
        <v>546</v>
      </c>
      <c r="D5" s="385" t="s">
        <v>560</v>
      </c>
      <c r="E5" s="366" t="s">
        <v>555</v>
      </c>
      <c r="F5" s="366" t="s">
        <v>195</v>
      </c>
      <c r="G5" s="366"/>
      <c r="H5" s="362" t="s">
        <v>195</v>
      </c>
      <c r="I5" s="22"/>
      <c r="J5" s="326"/>
      <c r="K5" s="23" t="s">
        <v>11</v>
      </c>
      <c r="L5" s="22"/>
      <c r="M5" s="221"/>
    </row>
    <row r="6" spans="2:19" ht="48" customHeight="1" x14ac:dyDescent="0.2">
      <c r="B6" s="387"/>
      <c r="C6" s="384"/>
      <c r="D6" s="385"/>
      <c r="E6" s="366" t="s">
        <v>555</v>
      </c>
      <c r="F6" s="366" t="s">
        <v>9</v>
      </c>
      <c r="G6" s="366"/>
      <c r="H6" s="362" t="s">
        <v>9</v>
      </c>
      <c r="I6" s="22"/>
      <c r="J6" s="326"/>
      <c r="K6" s="23" t="s">
        <v>11</v>
      </c>
      <c r="L6" s="22"/>
      <c r="M6" s="221"/>
    </row>
    <row r="7" spans="2:19" ht="72.650000000000006" customHeight="1" x14ac:dyDescent="0.2">
      <c r="B7" s="387"/>
      <c r="C7" s="384"/>
      <c r="D7" s="385"/>
      <c r="E7" s="366" t="s">
        <v>555</v>
      </c>
      <c r="F7" s="366" t="s">
        <v>7</v>
      </c>
      <c r="G7" s="366"/>
      <c r="H7" s="362" t="s">
        <v>7</v>
      </c>
      <c r="I7" s="22"/>
      <c r="J7" s="326"/>
      <c r="K7" s="23" t="s">
        <v>11</v>
      </c>
      <c r="L7" s="22"/>
      <c r="M7" s="221"/>
    </row>
    <row r="8" spans="2:19" ht="30" customHeight="1" x14ac:dyDescent="0.2">
      <c r="B8" s="387"/>
      <c r="C8" s="384"/>
      <c r="D8" s="397" t="s">
        <v>569</v>
      </c>
      <c r="E8" s="366"/>
      <c r="F8" s="366"/>
      <c r="G8" s="366"/>
      <c r="H8" s="362" t="s">
        <v>8</v>
      </c>
      <c r="I8" s="22"/>
      <c r="J8" s="326"/>
      <c r="K8" s="23" t="s">
        <v>571</v>
      </c>
      <c r="L8" s="22"/>
      <c r="M8" s="221"/>
    </row>
    <row r="9" spans="2:19" ht="30" customHeight="1" x14ac:dyDescent="0.2">
      <c r="B9" s="387"/>
      <c r="C9" s="384"/>
      <c r="D9" s="398"/>
      <c r="E9" s="366" t="s">
        <v>555</v>
      </c>
      <c r="F9" s="366" t="s">
        <v>195</v>
      </c>
      <c r="G9" s="366"/>
      <c r="H9" s="362" t="s">
        <v>195</v>
      </c>
      <c r="I9" s="22"/>
      <c r="J9" s="326"/>
      <c r="K9" s="23" t="s">
        <v>11</v>
      </c>
      <c r="L9" s="22"/>
      <c r="M9" s="90"/>
    </row>
    <row r="10" spans="2:19" ht="30" customHeight="1" x14ac:dyDescent="0.2">
      <c r="B10" s="387"/>
      <c r="C10" s="384"/>
      <c r="D10" s="398"/>
      <c r="E10" s="366" t="s">
        <v>555</v>
      </c>
      <c r="F10" s="366" t="s">
        <v>9</v>
      </c>
      <c r="G10" s="366"/>
      <c r="H10" s="362" t="s">
        <v>9</v>
      </c>
      <c r="I10" s="22"/>
      <c r="J10" s="326"/>
      <c r="K10" s="23" t="s">
        <v>11</v>
      </c>
      <c r="L10" s="22"/>
      <c r="M10" s="90"/>
      <c r="R10" s="14"/>
    </row>
    <row r="11" spans="2:19" ht="30" customHeight="1" x14ac:dyDescent="0.2">
      <c r="B11" s="387"/>
      <c r="C11" s="384"/>
      <c r="D11" s="399"/>
      <c r="E11" s="366" t="s">
        <v>555</v>
      </c>
      <c r="F11" s="366" t="s">
        <v>7</v>
      </c>
      <c r="G11" s="366"/>
      <c r="H11" s="362" t="s">
        <v>7</v>
      </c>
      <c r="I11" s="22"/>
      <c r="J11" s="326"/>
      <c r="K11" s="23" t="s">
        <v>11</v>
      </c>
      <c r="L11" s="22"/>
      <c r="M11" s="90"/>
    </row>
    <row r="12" spans="2:19" ht="30" customHeight="1" x14ac:dyDescent="0.2">
      <c r="B12" s="387"/>
      <c r="C12" s="392" t="s">
        <v>10</v>
      </c>
      <c r="D12" s="393"/>
      <c r="E12" s="393"/>
      <c r="F12" s="393"/>
      <c r="G12" s="393"/>
      <c r="H12" s="393"/>
      <c r="I12" s="393"/>
      <c r="J12" s="393"/>
      <c r="K12" s="394"/>
      <c r="L12" s="22"/>
      <c r="M12" s="21"/>
    </row>
    <row r="13" spans="2:19" ht="30" customHeight="1" x14ac:dyDescent="0.2">
      <c r="B13" s="387"/>
      <c r="C13" s="21" t="s">
        <v>561</v>
      </c>
      <c r="D13" s="21"/>
      <c r="E13" s="368"/>
      <c r="F13" s="368"/>
      <c r="G13" s="368"/>
      <c r="H13" s="91" t="s">
        <v>443</v>
      </c>
      <c r="I13" s="22"/>
      <c r="J13" s="327"/>
      <c r="K13" s="23" t="s">
        <v>66</v>
      </c>
      <c r="L13" s="22"/>
      <c r="M13" s="221"/>
      <c r="R13" s="367"/>
      <c r="S13" s="298"/>
    </row>
    <row r="14" spans="2:19" ht="30" customHeight="1" x14ac:dyDescent="0.2">
      <c r="B14" s="387"/>
      <c r="C14" s="389" t="s">
        <v>10</v>
      </c>
      <c r="D14" s="390"/>
      <c r="E14" s="390"/>
      <c r="F14" s="390"/>
      <c r="G14" s="390"/>
      <c r="H14" s="390"/>
      <c r="I14" s="390"/>
      <c r="J14" s="390"/>
      <c r="K14" s="391"/>
      <c r="L14" s="22"/>
      <c r="M14" s="377"/>
    </row>
    <row r="15" spans="2:19" ht="38.15" customHeight="1" x14ac:dyDescent="0.2">
      <c r="B15" s="387"/>
      <c r="C15" s="395" t="s">
        <v>447</v>
      </c>
      <c r="D15" s="90" t="s">
        <v>550</v>
      </c>
      <c r="E15" s="365" t="s">
        <v>459</v>
      </c>
      <c r="F15" s="365" t="s">
        <v>195</v>
      </c>
      <c r="G15" s="365"/>
      <c r="H15" s="90" t="s">
        <v>195</v>
      </c>
      <c r="I15" s="22"/>
      <c r="J15" s="327"/>
      <c r="K15" s="23" t="s">
        <v>558</v>
      </c>
      <c r="L15" s="22"/>
      <c r="M15" s="221"/>
    </row>
    <row r="16" spans="2:19" ht="34" customHeight="1" x14ac:dyDescent="0.2">
      <c r="B16" s="387"/>
      <c r="C16" s="396"/>
      <c r="D16" s="90" t="s">
        <v>550</v>
      </c>
      <c r="E16" s="365" t="s">
        <v>459</v>
      </c>
      <c r="F16" s="365" t="s">
        <v>9</v>
      </c>
      <c r="G16" s="365"/>
      <c r="H16" s="90" t="s">
        <v>9</v>
      </c>
      <c r="I16" s="22"/>
      <c r="J16" s="327"/>
      <c r="K16" s="23" t="s">
        <v>558</v>
      </c>
      <c r="L16" s="22"/>
      <c r="M16" s="221"/>
    </row>
    <row r="17" spans="2:20" ht="40.5" customHeight="1" x14ac:dyDescent="0.2">
      <c r="B17" s="387"/>
      <c r="C17" s="396"/>
      <c r="D17" s="90" t="s">
        <v>550</v>
      </c>
      <c r="E17" s="365" t="s">
        <v>459</v>
      </c>
      <c r="F17" s="365" t="s">
        <v>7</v>
      </c>
      <c r="G17" s="365"/>
      <c r="H17" s="90" t="s">
        <v>7</v>
      </c>
      <c r="I17" s="22"/>
      <c r="J17" s="327"/>
      <c r="K17" s="23" t="s">
        <v>558</v>
      </c>
      <c r="L17" s="22"/>
      <c r="M17" s="221"/>
    </row>
    <row r="18" spans="2:20" ht="30" customHeight="1" x14ac:dyDescent="0.2">
      <c r="B18" s="387"/>
      <c r="C18" s="396"/>
      <c r="D18" s="90" t="s">
        <v>551</v>
      </c>
      <c r="E18" s="365" t="s">
        <v>85</v>
      </c>
      <c r="F18" s="365" t="s">
        <v>195</v>
      </c>
      <c r="G18" s="365" t="s">
        <v>542</v>
      </c>
      <c r="H18" s="90" t="s">
        <v>195</v>
      </c>
      <c r="I18" s="22"/>
      <c r="J18" s="327"/>
      <c r="K18" s="23" t="s">
        <v>559</v>
      </c>
      <c r="L18" s="22"/>
      <c r="M18" s="221"/>
    </row>
    <row r="19" spans="2:20" ht="30" customHeight="1" x14ac:dyDescent="0.2">
      <c r="B19" s="387"/>
      <c r="C19" s="396"/>
      <c r="D19" s="90" t="s">
        <v>551</v>
      </c>
      <c r="E19" s="365" t="s">
        <v>85</v>
      </c>
      <c r="F19" s="365" t="s">
        <v>9</v>
      </c>
      <c r="G19" s="365" t="s">
        <v>542</v>
      </c>
      <c r="H19" s="90" t="s">
        <v>9</v>
      </c>
      <c r="I19" s="22"/>
      <c r="J19" s="327"/>
      <c r="K19" s="23" t="s">
        <v>559</v>
      </c>
      <c r="L19" s="22"/>
      <c r="M19" s="221"/>
    </row>
    <row r="20" spans="2:20" ht="30" customHeight="1" x14ac:dyDescent="0.2">
      <c r="B20" s="387"/>
      <c r="C20" s="396"/>
      <c r="D20" s="90" t="s">
        <v>551</v>
      </c>
      <c r="E20" s="365" t="s">
        <v>85</v>
      </c>
      <c r="F20" s="365" t="s">
        <v>7</v>
      </c>
      <c r="G20" s="365" t="s">
        <v>542</v>
      </c>
      <c r="H20" s="90" t="s">
        <v>7</v>
      </c>
      <c r="I20" s="22"/>
      <c r="J20" s="327"/>
      <c r="K20" s="23" t="s">
        <v>559</v>
      </c>
      <c r="L20" s="22"/>
      <c r="M20" s="221"/>
    </row>
    <row r="21" spans="2:20" ht="140.15" customHeight="1" x14ac:dyDescent="0.2">
      <c r="B21" s="387"/>
      <c r="C21" s="396"/>
      <c r="D21" s="90" t="s">
        <v>552</v>
      </c>
      <c r="E21" s="365" t="s">
        <v>543</v>
      </c>
      <c r="F21" s="365" t="s">
        <v>544</v>
      </c>
      <c r="G21" s="365"/>
      <c r="H21" s="90"/>
      <c r="I21" s="22"/>
      <c r="J21" s="327"/>
      <c r="K21" s="23" t="s">
        <v>563</v>
      </c>
      <c r="L21" s="22"/>
      <c r="M21" s="377"/>
    </row>
    <row r="22" spans="2:20" ht="64" customHeight="1" x14ac:dyDescent="0.2">
      <c r="B22" s="387"/>
      <c r="C22" s="396"/>
      <c r="D22" s="90" t="s">
        <v>553</v>
      </c>
      <c r="E22" s="365" t="s">
        <v>556</v>
      </c>
      <c r="F22" s="365" t="s">
        <v>545</v>
      </c>
      <c r="G22" s="365" t="s">
        <v>568</v>
      </c>
      <c r="H22" s="90"/>
      <c r="I22" s="22"/>
      <c r="J22" s="327"/>
      <c r="K22" s="23" t="s">
        <v>564</v>
      </c>
      <c r="L22" s="22">
        <f t="shared" ref="L22:L23" si="0">I22*J22</f>
        <v>0</v>
      </c>
      <c r="M22" s="377"/>
    </row>
    <row r="23" spans="2:20" ht="30" customHeight="1" x14ac:dyDescent="0.2">
      <c r="B23" s="387"/>
      <c r="C23" s="396"/>
      <c r="D23" s="90" t="s">
        <v>554</v>
      </c>
      <c r="E23" s="365" t="s">
        <v>557</v>
      </c>
      <c r="F23" s="365" t="s">
        <v>562</v>
      </c>
      <c r="G23" s="365"/>
      <c r="H23" s="90" t="s">
        <v>573</v>
      </c>
      <c r="I23" s="22"/>
      <c r="J23" s="327"/>
      <c r="K23" s="23" t="s">
        <v>567</v>
      </c>
      <c r="L23" s="22">
        <f t="shared" si="0"/>
        <v>0</v>
      </c>
      <c r="M23" s="377"/>
    </row>
    <row r="24" spans="2:20" ht="30" customHeight="1" x14ac:dyDescent="0.2">
      <c r="B24" s="388"/>
      <c r="C24" s="389" t="s">
        <v>565</v>
      </c>
      <c r="D24" s="390"/>
      <c r="E24" s="390"/>
      <c r="F24" s="390"/>
      <c r="G24" s="390"/>
      <c r="H24" s="390"/>
      <c r="I24" s="390"/>
      <c r="J24" s="390"/>
      <c r="K24" s="391"/>
      <c r="L24" s="308"/>
      <c r="M24" s="374"/>
    </row>
    <row r="25" spans="2:20" ht="30" customHeight="1" x14ac:dyDescent="0.2">
      <c r="B25" s="400" t="s">
        <v>566</v>
      </c>
      <c r="C25" s="401"/>
      <c r="D25" s="401"/>
      <c r="E25" s="401"/>
      <c r="F25" s="401"/>
      <c r="G25" s="401"/>
      <c r="H25" s="401"/>
      <c r="I25" s="401"/>
      <c r="J25" s="401"/>
      <c r="K25" s="402"/>
      <c r="L25" s="308"/>
      <c r="M25" s="374"/>
    </row>
    <row r="26" spans="2:20" ht="30" customHeight="1" x14ac:dyDescent="0.2">
      <c r="B26" s="392" t="s">
        <v>12</v>
      </c>
      <c r="C26" s="393"/>
      <c r="D26" s="393"/>
      <c r="E26" s="393"/>
      <c r="F26" s="393"/>
      <c r="G26" s="393"/>
      <c r="H26" s="393"/>
      <c r="I26" s="393"/>
      <c r="J26" s="393"/>
      <c r="K26" s="394"/>
      <c r="L26" s="22"/>
      <c r="M26" s="375"/>
      <c r="O26" s="376">
        <v>0.5</v>
      </c>
    </row>
    <row r="27" spans="2:20" ht="30" customHeight="1" x14ac:dyDescent="0.2">
      <c r="B27" s="392" t="s">
        <v>24</v>
      </c>
      <c r="C27" s="393"/>
      <c r="D27" s="393"/>
      <c r="E27" s="393"/>
      <c r="F27" s="393"/>
      <c r="G27" s="393"/>
      <c r="H27" s="393"/>
      <c r="I27" s="393"/>
      <c r="J27" s="393"/>
      <c r="K27" s="394"/>
      <c r="L27" s="299"/>
      <c r="M27" s="378"/>
    </row>
    <row r="28" spans="2:20" ht="30" customHeight="1" x14ac:dyDescent="0.2">
      <c r="B28" s="392" t="s">
        <v>13</v>
      </c>
      <c r="C28" s="393"/>
      <c r="D28" s="393"/>
      <c r="E28" s="393"/>
      <c r="F28" s="393"/>
      <c r="G28" s="393"/>
      <c r="H28" s="393"/>
      <c r="I28" s="393"/>
      <c r="J28" s="393"/>
      <c r="K28" s="394"/>
      <c r="L28" s="299"/>
      <c r="M28" s="379"/>
      <c r="R28" s="340"/>
      <c r="S28" s="15"/>
      <c r="T28" s="15"/>
    </row>
    <row r="29" spans="2:20" ht="30" customHeight="1" x14ac:dyDescent="0.2">
      <c r="B29" s="392" t="s">
        <v>20</v>
      </c>
      <c r="C29" s="393"/>
      <c r="D29" s="393"/>
      <c r="E29" s="393"/>
      <c r="F29" s="393"/>
      <c r="G29" s="393"/>
      <c r="H29" s="393"/>
      <c r="I29" s="393"/>
      <c r="J29" s="393"/>
      <c r="K29" s="394"/>
      <c r="L29" s="22"/>
      <c r="M29" s="21"/>
      <c r="R29" s="342"/>
      <c r="S29" s="343"/>
      <c r="T29" s="24"/>
    </row>
    <row r="30" spans="2:20" ht="30" customHeight="1" x14ac:dyDescent="0.2">
      <c r="R30" s="342"/>
      <c r="S30" s="343"/>
      <c r="T30" s="338"/>
    </row>
    <row r="31" spans="2:20" ht="30" customHeight="1" x14ac:dyDescent="0.2">
      <c r="B31" s="25" t="s">
        <v>574</v>
      </c>
      <c r="C31" s="25"/>
    </row>
    <row r="32" spans="2:20" ht="30" customHeight="1" x14ac:dyDescent="0.2">
      <c r="B32" s="13" t="s">
        <v>575</v>
      </c>
    </row>
    <row r="33" spans="2:10" ht="30" customHeight="1" x14ac:dyDescent="0.2"/>
    <row r="34" spans="2:10" ht="30" customHeight="1" x14ac:dyDescent="0.2"/>
    <row r="35" spans="2:10" ht="30" customHeight="1" x14ac:dyDescent="0.2"/>
    <row r="36" spans="2:10" ht="30" customHeight="1" x14ac:dyDescent="0.2"/>
    <row r="37" spans="2:10" ht="30" customHeight="1" x14ac:dyDescent="0.2"/>
    <row r="38" spans="2:10" ht="30" customHeight="1" x14ac:dyDescent="0.2"/>
    <row r="39" spans="2:10" ht="30" customHeight="1" x14ac:dyDescent="0.2"/>
    <row r="40" spans="2:10" ht="30" customHeight="1" x14ac:dyDescent="0.2"/>
    <row r="41" spans="2:10" ht="30" customHeight="1" x14ac:dyDescent="0.2"/>
    <row r="42" spans="2:10" ht="30" customHeight="1" x14ac:dyDescent="0.2"/>
    <row r="43" spans="2:10" ht="30" customHeight="1" x14ac:dyDescent="0.2"/>
    <row r="44" spans="2:10" ht="135.65" customHeight="1" x14ac:dyDescent="0.2">
      <c r="H44" s="370"/>
    </row>
    <row r="45" spans="2:10" ht="30" customHeight="1" x14ac:dyDescent="0.2">
      <c r="B45" s="16"/>
      <c r="C45" s="16"/>
      <c r="H45" s="371"/>
      <c r="I45" s="278"/>
      <c r="J45" s="279"/>
    </row>
    <row r="46" spans="2:10" ht="30" customHeight="1" x14ac:dyDescent="0.2">
      <c r="B46" s="16"/>
      <c r="C46" s="16"/>
      <c r="H46" s="370"/>
      <c r="I46" s="13"/>
    </row>
    <row r="47" spans="2:10" ht="30" customHeight="1" x14ac:dyDescent="0.2">
      <c r="H47" s="372"/>
      <c r="I47" s="13"/>
    </row>
    <row r="48" spans="2:10" ht="30" customHeight="1" x14ac:dyDescent="0.2">
      <c r="H48" s="373"/>
      <c r="I48" s="13"/>
    </row>
    <row r="49" spans="2:9" ht="30" customHeight="1" x14ac:dyDescent="0.2">
      <c r="H49" s="370"/>
      <c r="I49" s="348"/>
    </row>
    <row r="50" spans="2:9" ht="30" customHeight="1" x14ac:dyDescent="0.2">
      <c r="B50" s="14"/>
      <c r="C50" s="14"/>
      <c r="H50" s="372"/>
      <c r="I50" s="13"/>
    </row>
    <row r="51" spans="2:9" ht="30" customHeight="1" x14ac:dyDescent="0.2"/>
    <row r="52" spans="2:9" ht="30" customHeight="1" x14ac:dyDescent="0.2"/>
    <row r="53" spans="2:9" ht="30" customHeight="1" x14ac:dyDescent="0.2"/>
    <row r="54" spans="2:9" ht="30" customHeight="1" x14ac:dyDescent="0.2"/>
    <row r="55" spans="2:9" ht="30" customHeight="1" x14ac:dyDescent="0.2"/>
  </sheetData>
  <mergeCells count="14">
    <mergeCell ref="B26:K26"/>
    <mergeCell ref="B27:K27"/>
    <mergeCell ref="B29:K29"/>
    <mergeCell ref="B28:K28"/>
    <mergeCell ref="C24:K24"/>
    <mergeCell ref="B25:K25"/>
    <mergeCell ref="B2:M2"/>
    <mergeCell ref="C5:C11"/>
    <mergeCell ref="D5:D7"/>
    <mergeCell ref="B5:B24"/>
    <mergeCell ref="C14:K14"/>
    <mergeCell ref="C12:K12"/>
    <mergeCell ref="C15:C23"/>
    <mergeCell ref="D8:D11"/>
  </mergeCells>
  <phoneticPr fontId="7"/>
  <pageMargins left="0.6692913385826772" right="0.19685039370078741" top="1.6929133858267718" bottom="0.98425196850393704" header="0.51181102362204722" footer="0.51181102362204722"/>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C5FD-912F-4117-AA42-5026F81E2B24}">
  <sheetPr>
    <tabColor rgb="FF0070C0"/>
  </sheetPr>
  <dimension ref="A1:K364"/>
  <sheetViews>
    <sheetView workbookViewId="0">
      <selection sqref="A1:I1"/>
    </sheetView>
  </sheetViews>
  <sheetFormatPr defaultColWidth="9" defaultRowHeight="13" outlineLevelCol="1" x14ac:dyDescent="0.2"/>
  <cols>
    <col min="1" max="3" width="36" style="149" bestFit="1" customWidth="1"/>
    <col min="4" max="5" width="36" style="149" hidden="1" customWidth="1" outlineLevel="1"/>
    <col min="6" max="6" width="12.453125" style="149" hidden="1" customWidth="1" outlineLevel="1"/>
    <col min="7" max="7" width="36" style="149" hidden="1" customWidth="1" outlineLevel="1"/>
    <col min="8" max="8" width="13.90625" style="149" hidden="1" customWidth="1" outlineLevel="1"/>
    <col min="9" max="9" width="13.26953125" style="216" customWidth="1" collapsed="1"/>
    <col min="10" max="10" width="16.36328125" style="227" customWidth="1"/>
    <col min="11" max="11" width="9" style="237"/>
    <col min="12" max="16384" width="9" style="149"/>
  </cols>
  <sheetData>
    <row r="1" spans="1:11" x14ac:dyDescent="0.2">
      <c r="A1" s="415" t="s">
        <v>198</v>
      </c>
      <c r="B1" s="404"/>
      <c r="C1" s="404"/>
      <c r="D1" s="404"/>
      <c r="E1" s="404"/>
      <c r="F1" s="404"/>
      <c r="G1" s="404"/>
      <c r="H1" s="404"/>
      <c r="I1" s="404"/>
    </row>
    <row r="2" spans="1:11" x14ac:dyDescent="0.2">
      <c r="A2" s="416" t="s">
        <v>199</v>
      </c>
      <c r="B2" s="404"/>
      <c r="C2" s="404"/>
      <c r="D2" s="404"/>
      <c r="E2" s="404"/>
      <c r="F2" s="404"/>
      <c r="G2" s="404"/>
      <c r="H2" s="404"/>
      <c r="I2" s="404"/>
    </row>
    <row r="3" spans="1:11" x14ac:dyDescent="0.2">
      <c r="A3" s="405" t="s">
        <v>200</v>
      </c>
      <c r="B3" s="404"/>
      <c r="C3" s="404"/>
      <c r="D3" s="404"/>
      <c r="E3" s="404"/>
      <c r="F3" s="404"/>
      <c r="G3" s="404"/>
      <c r="H3" s="404"/>
      <c r="I3" s="404"/>
    </row>
    <row r="4" spans="1:11" x14ac:dyDescent="0.2">
      <c r="A4" s="415" t="s">
        <v>201</v>
      </c>
      <c r="B4" s="404"/>
      <c r="C4" s="404"/>
      <c r="D4" s="404"/>
      <c r="E4" s="404"/>
      <c r="F4" s="404"/>
      <c r="G4" s="404"/>
      <c r="H4" s="404"/>
      <c r="I4" s="404"/>
    </row>
    <row r="5" spans="1:11" ht="13.5" thickBot="1" x14ac:dyDescent="0.25">
      <c r="A5" s="405" t="s">
        <v>202</v>
      </c>
      <c r="B5" s="404"/>
      <c r="C5" s="404"/>
      <c r="D5" s="404"/>
      <c r="E5" s="404"/>
      <c r="F5" s="404"/>
      <c r="G5" s="404"/>
      <c r="H5" s="404"/>
      <c r="I5" s="404"/>
    </row>
    <row r="6" spans="1:11" x14ac:dyDescent="0.2">
      <c r="A6" s="417" t="s">
        <v>203</v>
      </c>
      <c r="B6" s="417" t="s">
        <v>204</v>
      </c>
    </row>
    <row r="7" spans="1:11" ht="13.5" thickBot="1" x14ac:dyDescent="0.25">
      <c r="A7" s="418"/>
      <c r="B7" s="418"/>
    </row>
    <row r="8" spans="1:11" ht="14.5" thickBot="1" x14ac:dyDescent="0.25">
      <c r="A8" s="150" t="s">
        <v>205</v>
      </c>
      <c r="B8" s="151" t="s">
        <v>206</v>
      </c>
    </row>
    <row r="9" spans="1:11" x14ac:dyDescent="0.2">
      <c r="A9" s="403" t="s">
        <v>207</v>
      </c>
      <c r="B9" s="404"/>
      <c r="C9" s="404"/>
      <c r="D9" s="404"/>
      <c r="E9" s="404"/>
      <c r="F9" s="404"/>
      <c r="G9" s="404"/>
      <c r="H9" s="404"/>
      <c r="I9" s="404"/>
    </row>
    <row r="10" spans="1:11" x14ac:dyDescent="0.2">
      <c r="A10" s="152" t="s">
        <v>208</v>
      </c>
    </row>
    <row r="11" spans="1:11" x14ac:dyDescent="0.2">
      <c r="A11" s="405" t="s">
        <v>209</v>
      </c>
      <c r="B11" s="404"/>
      <c r="C11" s="404"/>
      <c r="D11" s="404"/>
      <c r="E11" s="404"/>
      <c r="F11" s="404"/>
      <c r="G11" s="404"/>
      <c r="H11" s="404"/>
      <c r="I11" s="404"/>
    </row>
    <row r="12" spans="1:11" ht="13.5" thickBot="1" x14ac:dyDescent="0.25">
      <c r="A12" s="405" t="s">
        <v>210</v>
      </c>
      <c r="B12" s="404"/>
      <c r="C12" s="404"/>
      <c r="D12" s="404"/>
      <c r="E12" s="404"/>
      <c r="F12" s="404"/>
      <c r="G12" s="404"/>
      <c r="H12" s="404"/>
      <c r="I12" s="404"/>
    </row>
    <row r="13" spans="1:11" ht="14.5" thickBot="1" x14ac:dyDescent="0.25">
      <c r="A13" s="406"/>
      <c r="B13" s="407"/>
      <c r="C13" s="408" t="s">
        <v>211</v>
      </c>
      <c r="D13" s="410" t="s">
        <v>212</v>
      </c>
      <c r="E13" s="411"/>
      <c r="F13" s="412"/>
      <c r="G13" s="153"/>
      <c r="H13" s="154"/>
    </row>
    <row r="14" spans="1:11" ht="14.5" thickBot="1" x14ac:dyDescent="0.25">
      <c r="A14" s="413" t="s">
        <v>213</v>
      </c>
      <c r="B14" s="414"/>
      <c r="C14" s="409"/>
      <c r="D14" s="155" t="s">
        <v>214</v>
      </c>
      <c r="E14" s="156" t="s">
        <v>215</v>
      </c>
      <c r="F14" s="157" t="s">
        <v>216</v>
      </c>
      <c r="G14" s="158" t="s">
        <v>217</v>
      </c>
      <c r="H14" s="155" t="s">
        <v>218</v>
      </c>
      <c r="J14" s="222" t="s">
        <v>476</v>
      </c>
      <c r="K14" s="237" t="s">
        <v>503</v>
      </c>
    </row>
    <row r="15" spans="1:11" ht="15" thickTop="1" thickBot="1" x14ac:dyDescent="0.25">
      <c r="A15" s="428" t="s">
        <v>219</v>
      </c>
      <c r="B15" s="429"/>
      <c r="C15" s="159">
        <v>8388000</v>
      </c>
      <c r="D15" s="159">
        <v>6694000</v>
      </c>
      <c r="E15" s="159">
        <v>1694000</v>
      </c>
      <c r="F15" s="160"/>
      <c r="G15" s="430"/>
      <c r="H15" s="433"/>
      <c r="I15" s="256">
        <f>SUM(I16:I19)</f>
        <v>8388000</v>
      </c>
      <c r="J15" s="257">
        <f>C15-I15</f>
        <v>0</v>
      </c>
      <c r="K15" s="259"/>
    </row>
    <row r="16" spans="1:11" ht="14.5" thickBot="1" x14ac:dyDescent="0.25">
      <c r="A16" s="423"/>
      <c r="B16" s="161" t="s">
        <v>220</v>
      </c>
      <c r="C16" s="159">
        <v>100000</v>
      </c>
      <c r="D16" s="159">
        <v>100000</v>
      </c>
      <c r="E16" s="162"/>
      <c r="F16" s="160"/>
      <c r="G16" s="431"/>
      <c r="H16" s="434"/>
      <c r="I16" s="216">
        <f>ア【計画評価】①事務費_2P!G8+'ア【計画評価】②委託 _2P'!H32+ア【計画評価】③④事務費_2P!G8</f>
        <v>5055000</v>
      </c>
      <c r="J16" s="222">
        <f t="shared" ref="J16:J33" si="0">C16-I16</f>
        <v>-4955000</v>
      </c>
    </row>
    <row r="17" spans="1:11" ht="14.5" thickBot="1" x14ac:dyDescent="0.25">
      <c r="A17" s="423"/>
      <c r="B17" s="163" t="s">
        <v>221</v>
      </c>
      <c r="C17" s="159">
        <v>8088000</v>
      </c>
      <c r="D17" s="159">
        <v>6394000</v>
      </c>
      <c r="E17" s="159">
        <v>1694000</v>
      </c>
      <c r="F17" s="160"/>
      <c r="G17" s="431"/>
      <c r="H17" s="434"/>
      <c r="I17" s="216">
        <f>'ア【計画評価】【積算】②Ｒ5 予算書_シカ_1P'!I22</f>
        <v>3333000</v>
      </c>
      <c r="J17" s="222">
        <f t="shared" si="0"/>
        <v>4755000</v>
      </c>
    </row>
    <row r="18" spans="1:11" ht="14.5" thickBot="1" x14ac:dyDescent="0.25">
      <c r="A18" s="423"/>
      <c r="B18" s="163" t="s">
        <v>222</v>
      </c>
      <c r="C18" s="159">
        <v>100000</v>
      </c>
      <c r="D18" s="159">
        <v>100000</v>
      </c>
      <c r="E18" s="162"/>
      <c r="F18" s="160"/>
      <c r="G18" s="431"/>
      <c r="H18" s="434"/>
      <c r="J18" s="222">
        <f t="shared" si="0"/>
        <v>100000</v>
      </c>
    </row>
    <row r="19" spans="1:11" ht="14.5" thickBot="1" x14ac:dyDescent="0.25">
      <c r="A19" s="436"/>
      <c r="B19" s="163" t="s">
        <v>223</v>
      </c>
      <c r="C19" s="159">
        <v>100000</v>
      </c>
      <c r="D19" s="159">
        <v>100000</v>
      </c>
      <c r="E19" s="162"/>
      <c r="F19" s="160"/>
      <c r="G19" s="432"/>
      <c r="H19" s="434"/>
      <c r="J19" s="222">
        <f t="shared" si="0"/>
        <v>100000</v>
      </c>
    </row>
    <row r="20" spans="1:11" ht="14.5" thickBot="1" x14ac:dyDescent="0.25">
      <c r="A20" s="421" t="s">
        <v>224</v>
      </c>
      <c r="B20" s="422"/>
      <c r="C20" s="159">
        <v>1000000</v>
      </c>
      <c r="D20" s="159">
        <v>500000</v>
      </c>
      <c r="E20" s="159">
        <v>500000</v>
      </c>
      <c r="F20" s="160"/>
      <c r="G20" s="437" t="s">
        <v>225</v>
      </c>
      <c r="H20" s="434"/>
      <c r="I20" s="256">
        <f>SUM(I21:I22)</f>
        <v>1000000</v>
      </c>
      <c r="J20" s="257">
        <f>C20-I20</f>
        <v>0</v>
      </c>
      <c r="K20" s="259"/>
    </row>
    <row r="21" spans="1:11" ht="14.5" thickBot="1" x14ac:dyDescent="0.25">
      <c r="A21" s="423"/>
      <c r="B21" s="161" t="s">
        <v>226</v>
      </c>
      <c r="C21" s="159">
        <v>1000000</v>
      </c>
      <c r="D21" s="159">
        <v>500000</v>
      </c>
      <c r="E21" s="159">
        <v>500000</v>
      </c>
      <c r="F21" s="160"/>
      <c r="G21" s="438"/>
      <c r="H21" s="434"/>
      <c r="I21" s="223">
        <f>イ【捕獲】舞鶴市神崎_3P!H16+イ【捕獲_事務費】舞鶴市神崎_4P!H7</f>
        <v>1000000</v>
      </c>
      <c r="J21" s="222">
        <f t="shared" si="0"/>
        <v>0</v>
      </c>
    </row>
    <row r="22" spans="1:11" ht="14.5" thickBot="1" x14ac:dyDescent="0.25">
      <c r="A22" s="436"/>
      <c r="B22" s="163" t="s">
        <v>227</v>
      </c>
      <c r="C22" s="162"/>
      <c r="D22" s="162"/>
      <c r="E22" s="162"/>
      <c r="F22" s="160"/>
      <c r="G22" s="439"/>
      <c r="H22" s="434"/>
      <c r="I22" s="223"/>
      <c r="J22" s="222">
        <f t="shared" si="0"/>
        <v>0</v>
      </c>
    </row>
    <row r="23" spans="1:11" ht="14.5" thickBot="1" x14ac:dyDescent="0.25">
      <c r="A23" s="421" t="s">
        <v>228</v>
      </c>
      <c r="B23" s="422"/>
      <c r="C23" s="159">
        <v>10000000</v>
      </c>
      <c r="D23" s="159">
        <v>10000000</v>
      </c>
      <c r="E23" s="162"/>
      <c r="F23" s="160"/>
      <c r="G23" s="164"/>
      <c r="H23" s="434"/>
      <c r="I23" s="258">
        <f>SUM(I24:I26)</f>
        <v>10000000</v>
      </c>
      <c r="J23" s="257">
        <f>C23-I23</f>
        <v>0</v>
      </c>
      <c r="K23" s="259">
        <v>760000</v>
      </c>
    </row>
    <row r="24" spans="1:11" ht="26.5" thickBot="1" x14ac:dyDescent="0.25">
      <c r="A24" s="423"/>
      <c r="B24" s="161" t="s">
        <v>229</v>
      </c>
      <c r="C24" s="162"/>
      <c r="D24" s="162"/>
      <c r="E24" s="162"/>
      <c r="F24" s="160"/>
      <c r="G24" s="164" t="s">
        <v>230</v>
      </c>
      <c r="H24" s="434"/>
      <c r="I24" s="223"/>
      <c r="J24" s="222">
        <f t="shared" si="0"/>
        <v>0</v>
      </c>
    </row>
    <row r="25" spans="1:11" ht="14.5" thickBot="1" x14ac:dyDescent="0.25">
      <c r="A25" s="423"/>
      <c r="B25" s="163" t="s">
        <v>231</v>
      </c>
      <c r="C25" s="159">
        <v>10000000</v>
      </c>
      <c r="D25" s="159">
        <v>10000000</v>
      </c>
      <c r="E25" s="162"/>
      <c r="F25" s="160"/>
      <c r="G25" s="165"/>
      <c r="H25" s="434"/>
      <c r="I25" s="223">
        <f>ウ_【効果捕獲】_6P!H19+ウ_【効果捕獲】府事務費_5P!G8</f>
        <v>10000000</v>
      </c>
      <c r="J25" s="222">
        <f t="shared" si="0"/>
        <v>0</v>
      </c>
    </row>
    <row r="26" spans="1:11" ht="14.5" thickBot="1" x14ac:dyDescent="0.25">
      <c r="A26" s="436"/>
      <c r="B26" s="163" t="s">
        <v>232</v>
      </c>
      <c r="C26" s="162"/>
      <c r="D26" s="162"/>
      <c r="E26" s="162"/>
      <c r="F26" s="160"/>
      <c r="G26" s="166"/>
      <c r="H26" s="434"/>
      <c r="J26" s="222">
        <f t="shared" si="0"/>
        <v>0</v>
      </c>
    </row>
    <row r="27" spans="1:11" ht="25.5" thickBot="1" x14ac:dyDescent="0.25">
      <c r="A27" s="419" t="s">
        <v>233</v>
      </c>
      <c r="B27" s="420"/>
      <c r="C27" s="162"/>
      <c r="D27" s="162"/>
      <c r="E27" s="162"/>
      <c r="F27" s="160"/>
      <c r="G27" s="167" t="s">
        <v>234</v>
      </c>
      <c r="H27" s="434"/>
      <c r="J27" s="222">
        <f t="shared" si="0"/>
        <v>0</v>
      </c>
    </row>
    <row r="28" spans="1:11" ht="25.5" thickBot="1" x14ac:dyDescent="0.25">
      <c r="A28" s="419" t="s">
        <v>235</v>
      </c>
      <c r="B28" s="420"/>
      <c r="C28" s="162"/>
      <c r="D28" s="162"/>
      <c r="E28" s="162"/>
      <c r="F28" s="160"/>
      <c r="G28" s="167" t="s">
        <v>234</v>
      </c>
      <c r="H28" s="434"/>
      <c r="J28" s="222">
        <f t="shared" si="0"/>
        <v>0</v>
      </c>
    </row>
    <row r="29" spans="1:11" ht="53.5" thickBot="1" x14ac:dyDescent="0.25">
      <c r="A29" s="421" t="s">
        <v>236</v>
      </c>
      <c r="B29" s="422"/>
      <c r="C29" s="159">
        <v>6500000</v>
      </c>
      <c r="D29" s="159">
        <v>6500000</v>
      </c>
      <c r="E29" s="162"/>
      <c r="F29" s="160"/>
      <c r="G29" s="164" t="s">
        <v>237</v>
      </c>
      <c r="H29" s="434"/>
      <c r="I29" s="256">
        <f>SUM(I30:I31)</f>
        <v>6500000</v>
      </c>
      <c r="J29" s="257">
        <f>C29-I29</f>
        <v>0</v>
      </c>
      <c r="K29" s="259"/>
    </row>
    <row r="30" spans="1:11" ht="40.5" thickBot="1" x14ac:dyDescent="0.25">
      <c r="A30" s="423"/>
      <c r="B30" s="161" t="s">
        <v>238</v>
      </c>
      <c r="C30" s="159">
        <v>4500000</v>
      </c>
      <c r="D30" s="159">
        <v>4500000</v>
      </c>
      <c r="E30" s="162"/>
      <c r="F30" s="160"/>
      <c r="G30" s="164" t="s">
        <v>239</v>
      </c>
      <c r="H30" s="434"/>
      <c r="I30" s="216">
        <f>カ_【ジビエ】捕獲_7P!H5</f>
        <v>6120000</v>
      </c>
      <c r="J30" s="222">
        <f t="shared" si="0"/>
        <v>-1620000</v>
      </c>
    </row>
    <row r="31" spans="1:11" ht="27.5" thickBot="1" x14ac:dyDescent="0.25">
      <c r="A31" s="423"/>
      <c r="B31" s="168" t="s">
        <v>240</v>
      </c>
      <c r="C31" s="169">
        <v>2000000</v>
      </c>
      <c r="D31" s="169">
        <v>2000000</v>
      </c>
      <c r="E31" s="170"/>
      <c r="F31" s="171"/>
      <c r="G31" s="165"/>
      <c r="H31" s="434"/>
      <c r="I31" s="216">
        <f>カ_【ジビエ】捕獲_7P!H13+'カ_【ジビエ】捕獲府事務費 _8P'!G8</f>
        <v>380000</v>
      </c>
      <c r="J31" s="222">
        <f t="shared" si="0"/>
        <v>1620000</v>
      </c>
    </row>
    <row r="32" spans="1:11" ht="14.5" thickBot="1" x14ac:dyDescent="0.25">
      <c r="A32" s="423"/>
      <c r="B32" s="168" t="s">
        <v>241</v>
      </c>
      <c r="C32" s="172"/>
      <c r="D32" s="172"/>
      <c r="E32" s="172"/>
      <c r="F32" s="171"/>
      <c r="G32" s="165"/>
      <c r="H32" s="434"/>
      <c r="J32" s="222">
        <f t="shared" si="0"/>
        <v>0</v>
      </c>
    </row>
    <row r="33" spans="1:10" ht="14.5" thickBot="1" x14ac:dyDescent="0.25">
      <c r="A33" s="424"/>
      <c r="B33" s="168" t="s">
        <v>242</v>
      </c>
      <c r="C33" s="172"/>
      <c r="D33" s="172"/>
      <c r="E33" s="172"/>
      <c r="F33" s="171"/>
      <c r="G33" s="173"/>
      <c r="H33" s="435"/>
      <c r="J33" s="222">
        <f t="shared" si="0"/>
        <v>0</v>
      </c>
    </row>
    <row r="34" spans="1:10" ht="13.5" customHeight="1" thickTop="1" thickBot="1" x14ac:dyDescent="0.25">
      <c r="A34" s="425" t="s">
        <v>243</v>
      </c>
      <c r="B34" s="426"/>
      <c r="C34" s="169">
        <v>25888000</v>
      </c>
      <c r="D34" s="169">
        <v>23694000</v>
      </c>
      <c r="E34" s="169">
        <v>2194000</v>
      </c>
      <c r="F34" s="171"/>
      <c r="G34" s="171"/>
      <c r="H34" s="172"/>
      <c r="I34" s="216">
        <f>SUM(I15:I33)</f>
        <v>51776000</v>
      </c>
      <c r="J34" s="222">
        <f>C34-I34</f>
        <v>-25888000</v>
      </c>
    </row>
    <row r="35" spans="1:10" x14ac:dyDescent="0.2">
      <c r="A35" s="427" t="s">
        <v>244</v>
      </c>
      <c r="B35" s="404"/>
      <c r="C35" s="404"/>
      <c r="D35" s="404"/>
      <c r="E35" s="404"/>
      <c r="F35" s="404"/>
      <c r="G35" s="404"/>
      <c r="H35" s="404"/>
      <c r="I35" s="404"/>
    </row>
    <row r="36" spans="1:10" x14ac:dyDescent="0.2">
      <c r="A36" s="427" t="s">
        <v>245</v>
      </c>
      <c r="B36" s="404"/>
      <c r="C36" s="404"/>
      <c r="D36" s="404"/>
      <c r="E36" s="404"/>
      <c r="F36" s="404"/>
      <c r="G36" s="404"/>
      <c r="H36" s="404"/>
      <c r="I36" s="404"/>
    </row>
    <row r="38" spans="1:10" ht="13.5" thickBot="1" x14ac:dyDescent="0.25">
      <c r="A38" s="415" t="s">
        <v>246</v>
      </c>
      <c r="B38" s="404"/>
      <c r="C38" s="404"/>
      <c r="D38" s="404"/>
      <c r="E38" s="404"/>
      <c r="F38" s="404"/>
      <c r="G38" s="404"/>
      <c r="H38" s="404"/>
      <c r="I38" s="404"/>
    </row>
    <row r="39" spans="1:10" ht="14" x14ac:dyDescent="0.2">
      <c r="A39" s="174"/>
    </row>
    <row r="40" spans="1:10" ht="13.5" thickBot="1" x14ac:dyDescent="0.25">
      <c r="A40" s="175" t="s">
        <v>247</v>
      </c>
    </row>
    <row r="41" spans="1:10" ht="14" x14ac:dyDescent="0.2">
      <c r="A41" s="176"/>
    </row>
    <row r="42" spans="1:10" ht="13.5" thickBot="1" x14ac:dyDescent="0.25">
      <c r="A42" s="415" t="s">
        <v>248</v>
      </c>
      <c r="B42" s="404"/>
      <c r="C42" s="404"/>
      <c r="D42" s="404"/>
      <c r="E42" s="404"/>
      <c r="F42" s="404"/>
      <c r="G42" s="404"/>
      <c r="H42" s="404"/>
      <c r="I42" s="404"/>
    </row>
    <row r="43" spans="1:10" ht="18.75" customHeight="1" x14ac:dyDescent="0.2">
      <c r="A43" s="177" t="s">
        <v>249</v>
      </c>
      <c r="B43" s="440"/>
    </row>
    <row r="44" spans="1:10" ht="18.75" customHeight="1" x14ac:dyDescent="0.2">
      <c r="A44" s="178" t="s">
        <v>250</v>
      </c>
      <c r="B44" s="440"/>
    </row>
    <row r="45" spans="1:10" ht="18.75" customHeight="1" x14ac:dyDescent="0.2">
      <c r="A45" s="178" t="s">
        <v>251</v>
      </c>
      <c r="B45" s="440"/>
    </row>
    <row r="46" spans="1:10" ht="18.75" customHeight="1" x14ac:dyDescent="0.2">
      <c r="A46" s="178" t="s">
        <v>252</v>
      </c>
      <c r="B46" s="440"/>
    </row>
    <row r="47" spans="1:10" ht="18.75" customHeight="1" x14ac:dyDescent="0.2">
      <c r="A47" s="179"/>
      <c r="B47" s="440"/>
    </row>
    <row r="48" spans="1:10" ht="18.75" customHeight="1" x14ac:dyDescent="0.2">
      <c r="A48" s="178" t="s">
        <v>253</v>
      </c>
      <c r="B48" s="440"/>
    </row>
    <row r="49" spans="1:9" ht="23.15" customHeight="1" thickBot="1" x14ac:dyDescent="0.25">
      <c r="A49" s="175" t="s">
        <v>254</v>
      </c>
      <c r="B49" s="180"/>
    </row>
    <row r="50" spans="1:9" x14ac:dyDescent="0.2">
      <c r="A50" s="403" t="s">
        <v>255</v>
      </c>
      <c r="B50" s="404"/>
      <c r="C50" s="404"/>
      <c r="D50" s="404"/>
      <c r="E50" s="404"/>
      <c r="F50" s="404"/>
      <c r="G50" s="404"/>
      <c r="H50" s="404"/>
      <c r="I50" s="404"/>
    </row>
    <row r="51" spans="1:9" ht="14" x14ac:dyDescent="0.2">
      <c r="A51" s="176"/>
    </row>
    <row r="52" spans="1:9" ht="13.5" thickBot="1" x14ac:dyDescent="0.25">
      <c r="A52" s="415" t="s">
        <v>256</v>
      </c>
      <c r="B52" s="404"/>
      <c r="C52" s="404"/>
      <c r="D52" s="404"/>
      <c r="E52" s="404"/>
      <c r="F52" s="404"/>
      <c r="G52" s="404"/>
      <c r="H52" s="404"/>
      <c r="I52" s="404"/>
    </row>
    <row r="53" spans="1:9" ht="14" x14ac:dyDescent="0.2">
      <c r="A53" s="174"/>
      <c r="B53" s="181"/>
      <c r="C53" s="406"/>
      <c r="D53" s="441"/>
      <c r="E53" s="441"/>
      <c r="F53" s="441"/>
      <c r="G53" s="442"/>
      <c r="H53" s="154"/>
      <c r="I53" s="443" t="s">
        <v>257</v>
      </c>
    </row>
    <row r="54" spans="1:9" ht="13.5" thickBot="1" x14ac:dyDescent="0.25">
      <c r="A54" s="182" t="s">
        <v>258</v>
      </c>
      <c r="B54" s="183" t="s">
        <v>259</v>
      </c>
      <c r="C54" s="444" t="s">
        <v>260</v>
      </c>
      <c r="D54" s="445"/>
      <c r="E54" s="445"/>
      <c r="F54" s="445"/>
      <c r="G54" s="446"/>
      <c r="H54" s="183" t="s">
        <v>261</v>
      </c>
      <c r="I54" s="443"/>
    </row>
    <row r="55" spans="1:9" ht="14" x14ac:dyDescent="0.2">
      <c r="A55" s="179"/>
      <c r="B55" s="184" t="s">
        <v>262</v>
      </c>
      <c r="C55" s="185"/>
      <c r="D55" s="154"/>
      <c r="E55" s="154"/>
      <c r="F55" s="154"/>
      <c r="G55" s="154"/>
      <c r="H55" s="183" t="s">
        <v>263</v>
      </c>
      <c r="I55" s="443"/>
    </row>
    <row r="56" spans="1:9" ht="13.5" thickBot="1" x14ac:dyDescent="0.25">
      <c r="A56" s="186"/>
      <c r="B56" s="187"/>
      <c r="C56" s="151" t="s">
        <v>264</v>
      </c>
      <c r="D56" s="151" t="s">
        <v>264</v>
      </c>
      <c r="E56" s="151" t="s">
        <v>264</v>
      </c>
      <c r="F56" s="151" t="s">
        <v>264</v>
      </c>
      <c r="G56" s="151" t="s">
        <v>264</v>
      </c>
      <c r="H56" s="187"/>
      <c r="I56" s="443"/>
    </row>
    <row r="57" spans="1:9" ht="14" x14ac:dyDescent="0.2">
      <c r="A57" s="188"/>
      <c r="B57" s="447" t="s">
        <v>265</v>
      </c>
      <c r="C57" s="189" t="s">
        <v>266</v>
      </c>
      <c r="D57" s="189" t="s">
        <v>266</v>
      </c>
      <c r="E57" s="189" t="s">
        <v>266</v>
      </c>
      <c r="F57" s="189" t="s">
        <v>266</v>
      </c>
      <c r="G57" s="189" t="s">
        <v>266</v>
      </c>
      <c r="H57" s="447" t="s">
        <v>267</v>
      </c>
      <c r="I57" s="443"/>
    </row>
    <row r="58" spans="1:9" ht="14.5" thickBot="1" x14ac:dyDescent="0.25">
      <c r="A58" s="150" t="s">
        <v>203</v>
      </c>
      <c r="B58" s="448"/>
      <c r="C58" s="190" t="s">
        <v>268</v>
      </c>
      <c r="D58" s="190" t="s">
        <v>268</v>
      </c>
      <c r="E58" s="190" t="s">
        <v>268</v>
      </c>
      <c r="F58" s="190" t="s">
        <v>268</v>
      </c>
      <c r="G58" s="190" t="s">
        <v>268</v>
      </c>
      <c r="H58" s="448"/>
      <c r="I58" s="443"/>
    </row>
    <row r="59" spans="1:9" ht="14" x14ac:dyDescent="0.2">
      <c r="A59" s="188"/>
      <c r="B59" s="452"/>
      <c r="C59" s="452"/>
      <c r="D59" s="452"/>
      <c r="E59" s="452"/>
      <c r="F59" s="452"/>
      <c r="G59" s="452"/>
      <c r="H59" s="452"/>
      <c r="I59" s="443"/>
    </row>
    <row r="60" spans="1:9" ht="13.5" thickBot="1" x14ac:dyDescent="0.25">
      <c r="A60" s="150" t="s">
        <v>205</v>
      </c>
      <c r="B60" s="436"/>
      <c r="C60" s="436"/>
      <c r="D60" s="436"/>
      <c r="E60" s="436"/>
      <c r="F60" s="436"/>
      <c r="G60" s="436"/>
      <c r="H60" s="436"/>
      <c r="I60" s="443"/>
    </row>
    <row r="61" spans="1:9" ht="14" x14ac:dyDescent="0.2">
      <c r="A61" s="176"/>
    </row>
    <row r="62" spans="1:9" ht="14" x14ac:dyDescent="0.2">
      <c r="A62" s="176"/>
    </row>
    <row r="63" spans="1:9" ht="14" x14ac:dyDescent="0.2">
      <c r="A63" s="176"/>
    </row>
    <row r="64" spans="1:9" ht="13.5" thickBot="1" x14ac:dyDescent="0.25">
      <c r="A64" s="415" t="s">
        <v>269</v>
      </c>
      <c r="B64" s="404"/>
      <c r="C64" s="404"/>
      <c r="D64" s="404"/>
      <c r="E64" s="404"/>
      <c r="F64" s="404"/>
      <c r="G64" s="404"/>
      <c r="H64" s="404"/>
      <c r="I64" s="404"/>
    </row>
    <row r="65" spans="1:9" x14ac:dyDescent="0.2">
      <c r="A65" s="177" t="s">
        <v>270</v>
      </c>
      <c r="B65" s="453"/>
    </row>
    <row r="66" spans="1:9" ht="26" x14ac:dyDescent="0.2">
      <c r="A66" s="178" t="s">
        <v>271</v>
      </c>
      <c r="B66" s="453"/>
    </row>
    <row r="67" spans="1:9" ht="14.5" thickBot="1" x14ac:dyDescent="0.25">
      <c r="A67" s="191"/>
      <c r="B67" s="453"/>
    </row>
    <row r="68" spans="1:9" ht="18.75" customHeight="1" x14ac:dyDescent="0.2">
      <c r="A68" s="178" t="s">
        <v>272</v>
      </c>
      <c r="B68" s="440"/>
    </row>
    <row r="69" spans="1:9" ht="18.75" customHeight="1" x14ac:dyDescent="0.2">
      <c r="A69" s="178" t="s">
        <v>273</v>
      </c>
      <c r="B69" s="440"/>
    </row>
    <row r="70" spans="1:9" ht="18.75" customHeight="1" x14ac:dyDescent="0.2">
      <c r="A70" s="179"/>
      <c r="B70" s="440"/>
    </row>
    <row r="71" spans="1:9" ht="18.75" customHeight="1" x14ac:dyDescent="0.2">
      <c r="A71" s="179"/>
      <c r="B71" s="440"/>
    </row>
    <row r="72" spans="1:9" ht="18.75" customHeight="1" x14ac:dyDescent="0.2">
      <c r="A72" s="179"/>
      <c r="B72" s="440"/>
    </row>
    <row r="73" spans="1:9" ht="23.15" customHeight="1" thickBot="1" x14ac:dyDescent="0.25">
      <c r="A73" s="191"/>
      <c r="B73" s="180"/>
    </row>
    <row r="74" spans="1:9" x14ac:dyDescent="0.2">
      <c r="A74" s="403" t="s">
        <v>274</v>
      </c>
      <c r="B74" s="404"/>
      <c r="C74" s="404"/>
      <c r="D74" s="404"/>
      <c r="E74" s="404"/>
      <c r="F74" s="404"/>
      <c r="G74" s="404"/>
      <c r="H74" s="404"/>
      <c r="I74" s="404"/>
    </row>
    <row r="75" spans="1:9" x14ac:dyDescent="0.2">
      <c r="A75" s="454" t="s">
        <v>275</v>
      </c>
      <c r="B75" s="404"/>
      <c r="C75" s="404"/>
      <c r="D75" s="404"/>
      <c r="E75" s="404"/>
      <c r="F75" s="404"/>
      <c r="G75" s="404"/>
      <c r="H75" s="404"/>
      <c r="I75" s="404"/>
    </row>
    <row r="76" spans="1:9" ht="14" x14ac:dyDescent="0.2">
      <c r="A76" s="176"/>
    </row>
    <row r="77" spans="1:9" ht="13.5" thickBot="1" x14ac:dyDescent="0.25">
      <c r="A77" s="415" t="s">
        <v>276</v>
      </c>
      <c r="B77" s="404"/>
      <c r="C77" s="404"/>
      <c r="D77" s="404"/>
      <c r="E77" s="404"/>
      <c r="F77" s="404"/>
      <c r="G77" s="404"/>
      <c r="H77" s="404"/>
      <c r="I77" s="404"/>
    </row>
    <row r="78" spans="1:9" ht="18.75" customHeight="1" x14ac:dyDescent="0.2">
      <c r="A78" s="449" t="s">
        <v>277</v>
      </c>
      <c r="B78" s="440"/>
    </row>
    <row r="79" spans="1:9" ht="18.75" customHeight="1" x14ac:dyDescent="0.2">
      <c r="A79" s="450"/>
      <c r="B79" s="440"/>
    </row>
    <row r="80" spans="1:9" ht="23.15" customHeight="1" thickBot="1" x14ac:dyDescent="0.25">
      <c r="A80" s="451"/>
      <c r="B80" s="180"/>
    </row>
    <row r="81" spans="1:9" x14ac:dyDescent="0.2">
      <c r="A81" s="405" t="s">
        <v>278</v>
      </c>
      <c r="B81" s="404"/>
      <c r="C81" s="404"/>
      <c r="D81" s="404"/>
      <c r="E81" s="404"/>
      <c r="F81" s="404"/>
      <c r="G81" s="404"/>
      <c r="H81" s="404"/>
      <c r="I81" s="404"/>
    </row>
    <row r="82" spans="1:9" x14ac:dyDescent="0.2">
      <c r="A82" s="415" t="s">
        <v>279</v>
      </c>
      <c r="B82" s="404"/>
      <c r="C82" s="404"/>
      <c r="D82" s="404"/>
      <c r="E82" s="404"/>
      <c r="F82" s="404"/>
      <c r="G82" s="404"/>
      <c r="H82" s="404"/>
      <c r="I82" s="404"/>
    </row>
    <row r="83" spans="1:9" ht="13.5" thickBot="1" x14ac:dyDescent="0.25">
      <c r="A83" s="415" t="s">
        <v>280</v>
      </c>
      <c r="B83" s="404"/>
      <c r="C83" s="404"/>
      <c r="D83" s="404"/>
      <c r="E83" s="404"/>
      <c r="F83" s="404"/>
      <c r="G83" s="404"/>
      <c r="H83" s="404"/>
      <c r="I83" s="404"/>
    </row>
    <row r="84" spans="1:9" ht="18.75" customHeight="1" x14ac:dyDescent="0.2">
      <c r="A84" s="177" t="s">
        <v>281</v>
      </c>
      <c r="B84" s="440"/>
    </row>
    <row r="85" spans="1:9" ht="18.75" customHeight="1" x14ac:dyDescent="0.2">
      <c r="A85" s="178" t="s">
        <v>282</v>
      </c>
      <c r="B85" s="440"/>
    </row>
    <row r="86" spans="1:9" ht="23.15" customHeight="1" thickBot="1" x14ac:dyDescent="0.25">
      <c r="A86" s="175" t="s">
        <v>283</v>
      </c>
      <c r="B86" s="180"/>
    </row>
    <row r="87" spans="1:9" x14ac:dyDescent="0.2">
      <c r="A87" s="403" t="s">
        <v>284</v>
      </c>
      <c r="B87" s="404"/>
      <c r="C87" s="404"/>
      <c r="D87" s="404"/>
      <c r="E87" s="404"/>
      <c r="F87" s="404"/>
      <c r="G87" s="404"/>
      <c r="H87" s="404"/>
      <c r="I87" s="404"/>
    </row>
    <row r="88" spans="1:9" x14ac:dyDescent="0.2">
      <c r="A88" s="415" t="s">
        <v>285</v>
      </c>
      <c r="B88" s="404"/>
      <c r="C88" s="404"/>
      <c r="D88" s="404"/>
      <c r="E88" s="404"/>
      <c r="F88" s="404"/>
      <c r="G88" s="404"/>
      <c r="H88" s="404"/>
      <c r="I88" s="404"/>
    </row>
    <row r="89" spans="1:9" ht="14" x14ac:dyDescent="0.2">
      <c r="A89" s="176"/>
    </row>
    <row r="90" spans="1:9" x14ac:dyDescent="0.2">
      <c r="A90" s="415" t="s">
        <v>286</v>
      </c>
      <c r="B90" s="404"/>
      <c r="C90" s="404"/>
      <c r="D90" s="404"/>
      <c r="E90" s="404"/>
      <c r="F90" s="404"/>
      <c r="G90" s="404"/>
      <c r="H90" s="404"/>
      <c r="I90" s="404"/>
    </row>
    <row r="91" spans="1:9" ht="13.5" thickBot="1" x14ac:dyDescent="0.25">
      <c r="A91" s="415" t="s">
        <v>287</v>
      </c>
      <c r="B91" s="404"/>
      <c r="C91" s="404"/>
      <c r="D91" s="404"/>
      <c r="E91" s="404"/>
      <c r="F91" s="404"/>
      <c r="G91" s="404"/>
      <c r="H91" s="404"/>
      <c r="I91" s="404"/>
    </row>
    <row r="92" spans="1:9" ht="14" x14ac:dyDescent="0.2">
      <c r="A92" s="174"/>
      <c r="B92" s="181"/>
      <c r="C92" s="181"/>
      <c r="D92" s="453"/>
    </row>
    <row r="93" spans="1:9" ht="26.5" thickBot="1" x14ac:dyDescent="0.25">
      <c r="A93" s="150" t="s">
        <v>288</v>
      </c>
      <c r="B93" s="151" t="s">
        <v>289</v>
      </c>
      <c r="C93" s="151" t="s">
        <v>290</v>
      </c>
      <c r="D93" s="453"/>
    </row>
    <row r="94" spans="1:9" ht="18.75" customHeight="1" x14ac:dyDescent="0.2">
      <c r="A94" s="178" t="s">
        <v>291</v>
      </c>
      <c r="B94" s="184" t="s">
        <v>292</v>
      </c>
      <c r="C94" s="449" t="s">
        <v>293</v>
      </c>
      <c r="D94" s="440"/>
    </row>
    <row r="95" spans="1:9" ht="18.75" customHeight="1" x14ac:dyDescent="0.2">
      <c r="A95" s="178" t="s">
        <v>294</v>
      </c>
      <c r="B95" s="192"/>
      <c r="C95" s="450"/>
      <c r="D95" s="440"/>
    </row>
    <row r="96" spans="1:9" ht="18.75" customHeight="1" x14ac:dyDescent="0.2">
      <c r="A96" s="179"/>
      <c r="B96" s="184" t="s">
        <v>295</v>
      </c>
      <c r="C96" s="450"/>
      <c r="D96" s="440"/>
    </row>
    <row r="97" spans="1:9" ht="23.15" customHeight="1" thickBot="1" x14ac:dyDescent="0.25">
      <c r="A97" s="191"/>
      <c r="B97" s="187"/>
      <c r="C97" s="451"/>
      <c r="D97" s="180"/>
    </row>
    <row r="98" spans="1:9" x14ac:dyDescent="0.2">
      <c r="A98" s="403" t="s">
        <v>296</v>
      </c>
      <c r="B98" s="404"/>
      <c r="C98" s="404"/>
      <c r="D98" s="404"/>
      <c r="E98" s="404"/>
      <c r="F98" s="404"/>
      <c r="G98" s="404"/>
      <c r="H98" s="404"/>
      <c r="I98" s="404"/>
    </row>
    <row r="99" spans="1:9" x14ac:dyDescent="0.2">
      <c r="A99" s="403" t="s">
        <v>297</v>
      </c>
      <c r="B99" s="404"/>
      <c r="C99" s="404"/>
      <c r="D99" s="404"/>
      <c r="E99" s="404"/>
      <c r="F99" s="404"/>
      <c r="G99" s="404"/>
      <c r="H99" s="404"/>
      <c r="I99" s="404"/>
    </row>
    <row r="100" spans="1:9" x14ac:dyDescent="0.2">
      <c r="A100" s="405" t="s">
        <v>298</v>
      </c>
      <c r="B100" s="404"/>
      <c r="C100" s="404"/>
      <c r="D100" s="404"/>
      <c r="E100" s="404"/>
      <c r="F100" s="404"/>
      <c r="G100" s="404"/>
      <c r="H100" s="404"/>
      <c r="I100" s="404"/>
    </row>
    <row r="101" spans="1:9" ht="14" x14ac:dyDescent="0.2">
      <c r="A101" s="176"/>
    </row>
    <row r="102" spans="1:9" x14ac:dyDescent="0.2">
      <c r="A102" s="415" t="s">
        <v>299</v>
      </c>
      <c r="B102" s="404"/>
      <c r="C102" s="404"/>
      <c r="D102" s="404"/>
      <c r="E102" s="404"/>
      <c r="F102" s="404"/>
      <c r="G102" s="404"/>
      <c r="H102" s="404"/>
      <c r="I102" s="404"/>
    </row>
    <row r="103" spans="1:9" x14ac:dyDescent="0.2">
      <c r="A103" s="415" t="s">
        <v>300</v>
      </c>
      <c r="B103" s="404"/>
      <c r="C103" s="404"/>
      <c r="D103" s="404"/>
      <c r="E103" s="404"/>
      <c r="F103" s="404"/>
      <c r="G103" s="404"/>
      <c r="H103" s="404"/>
      <c r="I103" s="404"/>
    </row>
    <row r="104" spans="1:9" x14ac:dyDescent="0.2">
      <c r="A104" s="415" t="s">
        <v>301</v>
      </c>
      <c r="B104" s="404"/>
      <c r="C104" s="404"/>
      <c r="D104" s="404"/>
      <c r="E104" s="404"/>
      <c r="F104" s="404"/>
      <c r="G104" s="404"/>
      <c r="H104" s="404"/>
      <c r="I104" s="404"/>
    </row>
    <row r="105" spans="1:9" ht="13.5" thickBot="1" x14ac:dyDescent="0.25">
      <c r="A105" s="415" t="s">
        <v>302</v>
      </c>
      <c r="B105" s="404"/>
      <c r="C105" s="404"/>
      <c r="D105" s="404"/>
      <c r="E105" s="404"/>
      <c r="F105" s="404"/>
      <c r="G105" s="404"/>
      <c r="H105" s="404"/>
      <c r="I105" s="404"/>
    </row>
    <row r="106" spans="1:9" ht="14.5" thickBot="1" x14ac:dyDescent="0.25">
      <c r="A106" s="193" t="s">
        <v>303</v>
      </c>
      <c r="B106" s="194" t="s">
        <v>304</v>
      </c>
      <c r="C106" s="194" t="s">
        <v>305</v>
      </c>
      <c r="D106" s="194" t="s">
        <v>306</v>
      </c>
      <c r="E106" s="194" t="s">
        <v>307</v>
      </c>
      <c r="F106" s="194" t="s">
        <v>218</v>
      </c>
      <c r="G106" s="195"/>
    </row>
    <row r="107" spans="1:9" ht="18.75" customHeight="1" x14ac:dyDescent="0.2">
      <c r="A107" s="179"/>
      <c r="B107" s="192"/>
      <c r="C107" s="192"/>
      <c r="D107" s="192"/>
      <c r="E107" s="192"/>
      <c r="F107" s="452"/>
      <c r="G107" s="440"/>
    </row>
    <row r="108" spans="1:9" ht="18.75" customHeight="1" x14ac:dyDescent="0.2">
      <c r="A108" s="178" t="s">
        <v>308</v>
      </c>
      <c r="B108" s="184" t="s">
        <v>309</v>
      </c>
      <c r="C108" s="184" t="s">
        <v>310</v>
      </c>
      <c r="D108" s="184" t="s">
        <v>311</v>
      </c>
      <c r="E108" s="184" t="s">
        <v>312</v>
      </c>
      <c r="F108" s="423"/>
      <c r="G108" s="440"/>
    </row>
    <row r="109" spans="1:9" ht="18.75" customHeight="1" x14ac:dyDescent="0.2">
      <c r="A109" s="179"/>
      <c r="B109" s="184" t="s">
        <v>313</v>
      </c>
      <c r="C109" s="192"/>
      <c r="D109" s="192"/>
      <c r="E109" s="184" t="s">
        <v>314</v>
      </c>
      <c r="F109" s="423"/>
      <c r="G109" s="440"/>
    </row>
    <row r="110" spans="1:9" ht="23.15" customHeight="1" thickBot="1" x14ac:dyDescent="0.25">
      <c r="A110" s="191"/>
      <c r="B110" s="187"/>
      <c r="C110" s="187"/>
      <c r="D110" s="187"/>
      <c r="E110" s="187"/>
      <c r="F110" s="436"/>
      <c r="G110" s="180"/>
    </row>
    <row r="111" spans="1:9" x14ac:dyDescent="0.2">
      <c r="A111" s="403" t="s">
        <v>315</v>
      </c>
      <c r="B111" s="404"/>
      <c r="C111" s="404"/>
      <c r="D111" s="404"/>
      <c r="E111" s="404"/>
      <c r="F111" s="404"/>
      <c r="G111" s="404"/>
      <c r="H111" s="404"/>
      <c r="I111" s="404"/>
    </row>
    <row r="112" spans="1:9" ht="14" x14ac:dyDescent="0.2">
      <c r="A112" s="176"/>
    </row>
    <row r="113" spans="1:9" ht="14" x14ac:dyDescent="0.2">
      <c r="A113" s="176"/>
    </row>
    <row r="114" spans="1:9" ht="14" x14ac:dyDescent="0.2">
      <c r="A114" s="176"/>
    </row>
    <row r="115" spans="1:9" ht="14" x14ac:dyDescent="0.2">
      <c r="A115" s="176"/>
    </row>
    <row r="116" spans="1:9" ht="14" x14ac:dyDescent="0.2">
      <c r="A116" s="176"/>
    </row>
    <row r="117" spans="1:9" ht="14" x14ac:dyDescent="0.2">
      <c r="A117" s="176"/>
    </row>
    <row r="118" spans="1:9" ht="14" x14ac:dyDescent="0.2">
      <c r="A118" s="176"/>
    </row>
    <row r="119" spans="1:9" ht="13.5" thickBot="1" x14ac:dyDescent="0.25">
      <c r="A119" s="415" t="s">
        <v>316</v>
      </c>
      <c r="B119" s="404"/>
      <c r="C119" s="404"/>
      <c r="D119" s="404"/>
      <c r="E119" s="404"/>
      <c r="F119" s="404"/>
      <c r="G119" s="404"/>
      <c r="H119" s="404"/>
      <c r="I119" s="404"/>
    </row>
    <row r="120" spans="1:9" ht="27.5" thickBot="1" x14ac:dyDescent="0.25">
      <c r="A120" s="196" t="s">
        <v>317</v>
      </c>
    </row>
    <row r="121" spans="1:9" x14ac:dyDescent="0.2">
      <c r="A121" s="403" t="s">
        <v>318</v>
      </c>
      <c r="B121" s="404"/>
      <c r="C121" s="404"/>
      <c r="D121" s="404"/>
      <c r="E121" s="404"/>
      <c r="F121" s="404"/>
      <c r="G121" s="404"/>
      <c r="H121" s="404"/>
      <c r="I121" s="404"/>
    </row>
    <row r="122" spans="1:9" ht="14" x14ac:dyDescent="0.2">
      <c r="A122" s="176"/>
    </row>
    <row r="123" spans="1:9" ht="13.5" thickBot="1" x14ac:dyDescent="0.25">
      <c r="A123" s="415" t="s">
        <v>319</v>
      </c>
      <c r="B123" s="404"/>
      <c r="C123" s="404"/>
      <c r="D123" s="404"/>
      <c r="E123" s="404"/>
      <c r="F123" s="404"/>
      <c r="G123" s="404"/>
      <c r="H123" s="404"/>
      <c r="I123" s="404"/>
    </row>
    <row r="124" spans="1:9" ht="14.5" thickBot="1" x14ac:dyDescent="0.25">
      <c r="A124" s="193" t="s">
        <v>320</v>
      </c>
      <c r="B124" s="194" t="s">
        <v>321</v>
      </c>
      <c r="C124" s="194" t="s">
        <v>322</v>
      </c>
      <c r="D124" s="194" t="s">
        <v>218</v>
      </c>
      <c r="E124" s="195"/>
    </row>
    <row r="125" spans="1:9" ht="23.15" customHeight="1" x14ac:dyDescent="0.2">
      <c r="A125" s="197" t="s">
        <v>323</v>
      </c>
      <c r="B125" s="198" t="s">
        <v>324</v>
      </c>
      <c r="C125" s="198" t="s">
        <v>325</v>
      </c>
      <c r="D125" s="452"/>
      <c r="E125" s="180"/>
    </row>
    <row r="126" spans="1:9" ht="23.15" customHeight="1" thickBot="1" x14ac:dyDescent="0.25">
      <c r="A126" s="199" t="s">
        <v>326</v>
      </c>
      <c r="B126" s="200" t="s">
        <v>327</v>
      </c>
      <c r="C126" s="200" t="s">
        <v>328</v>
      </c>
      <c r="D126" s="436"/>
      <c r="E126" s="180"/>
    </row>
    <row r="127" spans="1:9" x14ac:dyDescent="0.2">
      <c r="A127" s="403" t="s">
        <v>329</v>
      </c>
      <c r="B127" s="404"/>
      <c r="C127" s="404"/>
      <c r="D127" s="404"/>
      <c r="E127" s="404"/>
      <c r="F127" s="404"/>
      <c r="G127" s="404"/>
      <c r="H127" s="404"/>
      <c r="I127" s="404"/>
    </row>
    <row r="128" spans="1:9" ht="14" x14ac:dyDescent="0.2">
      <c r="A128" s="176"/>
    </row>
    <row r="129" spans="1:9" ht="13.5" thickBot="1" x14ac:dyDescent="0.25">
      <c r="A129" s="415" t="s">
        <v>330</v>
      </c>
      <c r="B129" s="404"/>
      <c r="C129" s="404"/>
      <c r="D129" s="404"/>
      <c r="E129" s="404"/>
      <c r="F129" s="404"/>
      <c r="G129" s="404"/>
      <c r="H129" s="404"/>
      <c r="I129" s="404"/>
    </row>
    <row r="130" spans="1:9" ht="26.5" thickBot="1" x14ac:dyDescent="0.25">
      <c r="A130" s="193" t="s">
        <v>320</v>
      </c>
      <c r="B130" s="194" t="s">
        <v>321</v>
      </c>
      <c r="C130" s="194" t="s">
        <v>331</v>
      </c>
      <c r="D130" s="194" t="s">
        <v>218</v>
      </c>
      <c r="E130" s="195"/>
    </row>
    <row r="131" spans="1:9" ht="23.15" customHeight="1" x14ac:dyDescent="0.2">
      <c r="A131" s="197" t="s">
        <v>332</v>
      </c>
      <c r="B131" s="458" t="s">
        <v>333</v>
      </c>
      <c r="C131" s="458" t="s">
        <v>334</v>
      </c>
      <c r="D131" s="452"/>
      <c r="E131" s="180"/>
    </row>
    <row r="132" spans="1:9" ht="23.15" customHeight="1" thickBot="1" x14ac:dyDescent="0.25">
      <c r="A132" s="199" t="s">
        <v>335</v>
      </c>
      <c r="B132" s="459"/>
      <c r="C132" s="459"/>
      <c r="D132" s="436"/>
      <c r="E132" s="180"/>
    </row>
    <row r="133" spans="1:9" x14ac:dyDescent="0.2">
      <c r="A133" s="403" t="s">
        <v>336</v>
      </c>
      <c r="B133" s="404"/>
      <c r="C133" s="404"/>
      <c r="D133" s="404"/>
      <c r="E133" s="404"/>
      <c r="F133" s="404"/>
      <c r="G133" s="404"/>
      <c r="H133" s="404"/>
      <c r="I133" s="404"/>
    </row>
    <row r="135" spans="1:9" x14ac:dyDescent="0.2">
      <c r="A135" s="415" t="s">
        <v>337</v>
      </c>
      <c r="B135" s="404"/>
      <c r="C135" s="404"/>
      <c r="D135" s="404"/>
      <c r="E135" s="404"/>
      <c r="F135" s="404"/>
      <c r="G135" s="404"/>
      <c r="H135" s="404"/>
      <c r="I135" s="404"/>
    </row>
    <row r="136" spans="1:9" ht="13.5" thickBot="1" x14ac:dyDescent="0.25">
      <c r="A136" s="415" t="s">
        <v>338</v>
      </c>
      <c r="B136" s="404"/>
      <c r="C136" s="404"/>
      <c r="D136" s="404"/>
      <c r="E136" s="404"/>
      <c r="F136" s="404"/>
      <c r="G136" s="404"/>
      <c r="H136" s="404"/>
      <c r="I136" s="404"/>
    </row>
    <row r="137" spans="1:9" ht="14.5" thickBot="1" x14ac:dyDescent="0.25">
      <c r="A137" s="193" t="s">
        <v>303</v>
      </c>
      <c r="B137" s="194" t="s">
        <v>304</v>
      </c>
      <c r="C137" s="194" t="s">
        <v>305</v>
      </c>
      <c r="D137" s="194" t="s">
        <v>306</v>
      </c>
      <c r="E137" s="194" t="s">
        <v>307</v>
      </c>
      <c r="F137" s="194" t="s">
        <v>218</v>
      </c>
      <c r="G137" s="195"/>
    </row>
    <row r="138" spans="1:9" ht="18.75" customHeight="1" x14ac:dyDescent="0.2">
      <c r="A138" s="455" t="s">
        <v>339</v>
      </c>
      <c r="B138" s="455" t="s">
        <v>340</v>
      </c>
      <c r="C138" s="455" t="s">
        <v>341</v>
      </c>
      <c r="D138" s="192"/>
      <c r="E138" s="192"/>
      <c r="F138" s="452"/>
      <c r="G138" s="440"/>
    </row>
    <row r="139" spans="1:9" ht="18.75" customHeight="1" x14ac:dyDescent="0.2">
      <c r="A139" s="456"/>
      <c r="B139" s="456"/>
      <c r="C139" s="456"/>
      <c r="D139" s="184" t="s">
        <v>342</v>
      </c>
      <c r="E139" s="192"/>
      <c r="F139" s="423"/>
      <c r="G139" s="440"/>
    </row>
    <row r="140" spans="1:9" ht="18.75" customHeight="1" x14ac:dyDescent="0.2">
      <c r="A140" s="456"/>
      <c r="B140" s="456"/>
      <c r="C140" s="456"/>
      <c r="D140" s="184" t="s">
        <v>343</v>
      </c>
      <c r="E140" s="184" t="s">
        <v>344</v>
      </c>
      <c r="F140" s="423"/>
      <c r="G140" s="440"/>
    </row>
    <row r="141" spans="1:9" ht="18.75" customHeight="1" x14ac:dyDescent="0.2">
      <c r="A141" s="456"/>
      <c r="B141" s="456"/>
      <c r="C141" s="456"/>
      <c r="D141" s="192"/>
      <c r="E141" s="192"/>
      <c r="F141" s="423"/>
      <c r="G141" s="440"/>
    </row>
    <row r="142" spans="1:9" ht="23.15" customHeight="1" thickBot="1" x14ac:dyDescent="0.25">
      <c r="A142" s="457"/>
      <c r="B142" s="457"/>
      <c r="C142" s="457"/>
      <c r="D142" s="187"/>
      <c r="E142" s="201"/>
      <c r="F142" s="436"/>
      <c r="G142" s="180"/>
    </row>
    <row r="143" spans="1:9" x14ac:dyDescent="0.2">
      <c r="A143" s="454" t="s">
        <v>345</v>
      </c>
      <c r="B143" s="404"/>
      <c r="C143" s="404"/>
      <c r="D143" s="404"/>
      <c r="E143" s="404"/>
      <c r="F143" s="404"/>
      <c r="G143" s="404"/>
      <c r="H143" s="404"/>
      <c r="I143" s="404"/>
    </row>
    <row r="144" spans="1:9" x14ac:dyDescent="0.2">
      <c r="A144" s="454" t="s">
        <v>346</v>
      </c>
      <c r="B144" s="404"/>
      <c r="C144" s="404"/>
      <c r="D144" s="404"/>
      <c r="E144" s="404"/>
      <c r="F144" s="404"/>
      <c r="G144" s="404"/>
      <c r="H144" s="404"/>
      <c r="I144" s="404"/>
    </row>
    <row r="145" spans="1:9" ht="14" x14ac:dyDescent="0.2">
      <c r="A145" s="176"/>
    </row>
    <row r="146" spans="1:9" ht="13.5" thickBot="1" x14ac:dyDescent="0.25">
      <c r="A146" s="415" t="s">
        <v>347</v>
      </c>
      <c r="B146" s="404"/>
      <c r="C146" s="404"/>
      <c r="D146" s="404"/>
      <c r="E146" s="404"/>
      <c r="F146" s="404"/>
      <c r="G146" s="404"/>
      <c r="H146" s="404"/>
      <c r="I146" s="404"/>
    </row>
    <row r="147" spans="1:9" ht="14.5" thickBot="1" x14ac:dyDescent="0.25">
      <c r="A147" s="193" t="s">
        <v>320</v>
      </c>
      <c r="B147" s="194" t="s">
        <v>321</v>
      </c>
      <c r="C147" s="194" t="s">
        <v>348</v>
      </c>
      <c r="D147" s="195"/>
    </row>
    <row r="148" spans="1:9" ht="23.15" customHeight="1" x14ac:dyDescent="0.2">
      <c r="A148" s="178" t="s">
        <v>349</v>
      </c>
      <c r="B148" s="184" t="s">
        <v>324</v>
      </c>
      <c r="C148" s="184" t="s">
        <v>350</v>
      </c>
      <c r="D148" s="180"/>
    </row>
    <row r="149" spans="1:9" ht="23.15" customHeight="1" thickBot="1" x14ac:dyDescent="0.25">
      <c r="A149" s="175" t="s">
        <v>351</v>
      </c>
      <c r="B149" s="202" t="s">
        <v>327</v>
      </c>
      <c r="C149" s="202" t="s">
        <v>352</v>
      </c>
      <c r="D149" s="180"/>
    </row>
    <row r="150" spans="1:9" x14ac:dyDescent="0.2">
      <c r="A150" s="454" t="s">
        <v>353</v>
      </c>
      <c r="B150" s="404"/>
      <c r="C150" s="404"/>
      <c r="D150" s="404"/>
      <c r="E150" s="404"/>
      <c r="F150" s="404"/>
      <c r="G150" s="404"/>
      <c r="H150" s="404"/>
      <c r="I150" s="404"/>
    </row>
    <row r="151" spans="1:9" ht="14" x14ac:dyDescent="0.2">
      <c r="A151" s="176"/>
    </row>
    <row r="152" spans="1:9" x14ac:dyDescent="0.2">
      <c r="A152" s="415" t="s">
        <v>354</v>
      </c>
      <c r="B152" s="404"/>
      <c r="C152" s="404"/>
      <c r="D152" s="404"/>
      <c r="E152" s="404"/>
      <c r="F152" s="404"/>
      <c r="G152" s="404"/>
      <c r="H152" s="404"/>
      <c r="I152" s="404"/>
    </row>
    <row r="153" spans="1:9" ht="13.5" thickBot="1" x14ac:dyDescent="0.25">
      <c r="A153" s="405" t="s">
        <v>355</v>
      </c>
      <c r="B153" s="404"/>
      <c r="C153" s="404"/>
      <c r="D153" s="404"/>
      <c r="E153" s="404"/>
      <c r="F153" s="404"/>
      <c r="G153" s="404"/>
      <c r="H153" s="404"/>
      <c r="I153" s="404"/>
    </row>
    <row r="154" spans="1:9" ht="14.5" thickBot="1" x14ac:dyDescent="0.25">
      <c r="A154" s="193" t="s">
        <v>356</v>
      </c>
      <c r="B154" s="194" t="s">
        <v>320</v>
      </c>
      <c r="C154" s="194" t="s">
        <v>357</v>
      </c>
      <c r="D154" s="194" t="s">
        <v>358</v>
      </c>
      <c r="E154" s="195"/>
    </row>
    <row r="155" spans="1:9" ht="23.15" customHeight="1" x14ac:dyDescent="0.2">
      <c r="A155" s="179"/>
      <c r="B155" s="192"/>
      <c r="C155" s="192"/>
      <c r="D155" s="192"/>
      <c r="E155" s="180"/>
    </row>
    <row r="156" spans="1:9" ht="23.15" customHeight="1" thickBot="1" x14ac:dyDescent="0.25">
      <c r="A156" s="175" t="s">
        <v>359</v>
      </c>
      <c r="B156" s="203" t="s">
        <v>360</v>
      </c>
      <c r="C156" s="202" t="s">
        <v>361</v>
      </c>
      <c r="D156" s="202" t="s">
        <v>362</v>
      </c>
      <c r="E156" s="180"/>
    </row>
    <row r="157" spans="1:9" ht="14.5" thickBot="1" x14ac:dyDescent="0.25">
      <c r="A157" s="176"/>
    </row>
    <row r="158" spans="1:9" ht="13.5" thickBot="1" x14ac:dyDescent="0.25">
      <c r="A158" s="193" t="s">
        <v>363</v>
      </c>
      <c r="B158" s="194" t="s">
        <v>364</v>
      </c>
    </row>
    <row r="159" spans="1:9" ht="18.75" customHeight="1" x14ac:dyDescent="0.2">
      <c r="A159" s="178" t="s">
        <v>365</v>
      </c>
      <c r="B159" s="452"/>
    </row>
    <row r="160" spans="1:9" ht="18.75" customHeight="1" x14ac:dyDescent="0.2">
      <c r="A160" s="178" t="s">
        <v>366</v>
      </c>
      <c r="B160" s="423"/>
    </row>
    <row r="161" spans="1:9" ht="18.75" customHeight="1" thickBot="1" x14ac:dyDescent="0.25">
      <c r="A161" s="191"/>
      <c r="B161" s="436"/>
    </row>
    <row r="162" spans="1:9" x14ac:dyDescent="0.2">
      <c r="A162" s="403" t="s">
        <v>367</v>
      </c>
      <c r="B162" s="404"/>
      <c r="C162" s="404"/>
      <c r="D162" s="404"/>
      <c r="E162" s="404"/>
      <c r="F162" s="404"/>
      <c r="G162" s="404"/>
      <c r="H162" s="404"/>
      <c r="I162" s="404"/>
    </row>
    <row r="163" spans="1:9" x14ac:dyDescent="0.2">
      <c r="A163" s="454" t="s">
        <v>368</v>
      </c>
      <c r="B163" s="404"/>
      <c r="C163" s="404"/>
      <c r="D163" s="404"/>
      <c r="E163" s="404"/>
      <c r="F163" s="404"/>
      <c r="G163" s="404"/>
      <c r="H163" s="404"/>
      <c r="I163" s="404"/>
    </row>
    <row r="164" spans="1:9" x14ac:dyDescent="0.2">
      <c r="A164" s="454" t="s">
        <v>369</v>
      </c>
      <c r="B164" s="404"/>
      <c r="C164" s="404"/>
      <c r="D164" s="404"/>
      <c r="E164" s="404"/>
      <c r="F164" s="404"/>
      <c r="G164" s="404"/>
      <c r="H164" s="404"/>
      <c r="I164" s="404"/>
    </row>
    <row r="165" spans="1:9" x14ac:dyDescent="0.2">
      <c r="A165" s="415" t="s">
        <v>370</v>
      </c>
      <c r="B165" s="404"/>
      <c r="C165" s="404"/>
      <c r="D165" s="404"/>
      <c r="E165" s="404"/>
      <c r="F165" s="404"/>
      <c r="G165" s="404"/>
      <c r="H165" s="404"/>
      <c r="I165" s="404"/>
    </row>
    <row r="166" spans="1:9" ht="14" x14ac:dyDescent="0.2">
      <c r="A166" s="204"/>
    </row>
    <row r="167" spans="1:9" ht="13.5" thickBot="1" x14ac:dyDescent="0.25">
      <c r="A167" s="415" t="s">
        <v>371</v>
      </c>
      <c r="B167" s="404"/>
      <c r="C167" s="404"/>
      <c r="D167" s="404"/>
      <c r="E167" s="404"/>
      <c r="F167" s="404"/>
      <c r="G167" s="404"/>
      <c r="H167" s="404"/>
      <c r="I167" s="404"/>
    </row>
    <row r="168" spans="1:9" ht="18.75" customHeight="1" x14ac:dyDescent="0.2">
      <c r="A168" s="452"/>
      <c r="B168" s="440"/>
    </row>
    <row r="169" spans="1:9" ht="18.75" customHeight="1" x14ac:dyDescent="0.2">
      <c r="A169" s="423"/>
      <c r="B169" s="440"/>
    </row>
    <row r="170" spans="1:9" ht="18.75" customHeight="1" x14ac:dyDescent="0.2">
      <c r="A170" s="423"/>
      <c r="B170" s="440"/>
    </row>
    <row r="171" spans="1:9" ht="18.75" customHeight="1" x14ac:dyDescent="0.2">
      <c r="A171" s="423"/>
      <c r="B171" s="440"/>
    </row>
    <row r="172" spans="1:9" ht="18.75" customHeight="1" x14ac:dyDescent="0.2">
      <c r="A172" s="423"/>
      <c r="B172" s="440"/>
    </row>
    <row r="173" spans="1:9" ht="18.75" customHeight="1" x14ac:dyDescent="0.2">
      <c r="A173" s="423"/>
      <c r="B173" s="440"/>
    </row>
    <row r="174" spans="1:9" ht="18.75" customHeight="1" x14ac:dyDescent="0.2">
      <c r="A174" s="423"/>
      <c r="B174" s="440"/>
    </row>
    <row r="175" spans="1:9" ht="18.75" customHeight="1" x14ac:dyDescent="0.2">
      <c r="A175" s="423"/>
      <c r="B175" s="440"/>
    </row>
    <row r="176" spans="1:9" ht="23.15" customHeight="1" thickBot="1" x14ac:dyDescent="0.25">
      <c r="A176" s="436"/>
      <c r="B176" s="180"/>
    </row>
    <row r="177" spans="1:9" x14ac:dyDescent="0.2">
      <c r="A177" s="405" t="s">
        <v>372</v>
      </c>
      <c r="B177" s="404"/>
      <c r="C177" s="404"/>
      <c r="D177" s="404"/>
      <c r="E177" s="404"/>
      <c r="F177" s="404"/>
      <c r="G177" s="404"/>
      <c r="H177" s="404"/>
      <c r="I177" s="404"/>
    </row>
    <row r="178" spans="1:9" ht="14" x14ac:dyDescent="0.2">
      <c r="A178" s="176"/>
    </row>
    <row r="179" spans="1:9" x14ac:dyDescent="0.2">
      <c r="A179" s="415" t="s">
        <v>373</v>
      </c>
      <c r="B179" s="404"/>
      <c r="C179" s="404"/>
      <c r="D179" s="404"/>
      <c r="E179" s="404"/>
      <c r="F179" s="404"/>
      <c r="G179" s="404"/>
      <c r="H179" s="404"/>
      <c r="I179" s="404"/>
    </row>
    <row r="180" spans="1:9" x14ac:dyDescent="0.2">
      <c r="A180" s="415" t="s">
        <v>374</v>
      </c>
      <c r="B180" s="404"/>
      <c r="C180" s="404"/>
      <c r="D180" s="404"/>
      <c r="E180" s="404"/>
      <c r="F180" s="404"/>
      <c r="G180" s="404"/>
      <c r="H180" s="404"/>
      <c r="I180" s="404"/>
    </row>
    <row r="181" spans="1:9" ht="13.5" thickBot="1" x14ac:dyDescent="0.25">
      <c r="A181" s="405" t="s">
        <v>375</v>
      </c>
      <c r="B181" s="404"/>
      <c r="C181" s="404"/>
      <c r="D181" s="404"/>
      <c r="E181" s="404"/>
      <c r="F181" s="404"/>
      <c r="G181" s="404"/>
      <c r="H181" s="404"/>
      <c r="I181" s="404"/>
    </row>
    <row r="182" spans="1:9" ht="14.5" thickBot="1" x14ac:dyDescent="0.25">
      <c r="A182" s="193" t="s">
        <v>303</v>
      </c>
      <c r="B182" s="194" t="s">
        <v>304</v>
      </c>
      <c r="C182" s="194" t="s">
        <v>305</v>
      </c>
      <c r="D182" s="194" t="s">
        <v>306</v>
      </c>
      <c r="E182" s="194" t="s">
        <v>307</v>
      </c>
      <c r="F182" s="194" t="s">
        <v>218</v>
      </c>
      <c r="G182" s="195"/>
    </row>
    <row r="183" spans="1:9" ht="18.75" customHeight="1" x14ac:dyDescent="0.2">
      <c r="A183" s="452"/>
      <c r="B183" s="192"/>
      <c r="C183" s="452"/>
      <c r="D183" s="452"/>
      <c r="E183" s="452"/>
      <c r="F183" s="452"/>
      <c r="G183" s="440"/>
    </row>
    <row r="184" spans="1:9" ht="18.75" customHeight="1" x14ac:dyDescent="0.2">
      <c r="A184" s="423"/>
      <c r="B184" s="192"/>
      <c r="C184" s="423"/>
      <c r="D184" s="423"/>
      <c r="E184" s="423"/>
      <c r="F184" s="423"/>
      <c r="G184" s="440"/>
    </row>
    <row r="185" spans="1:9" ht="18.75" customHeight="1" x14ac:dyDescent="0.2">
      <c r="A185" s="423"/>
      <c r="B185" s="184" t="s">
        <v>376</v>
      </c>
      <c r="C185" s="423"/>
      <c r="D185" s="423"/>
      <c r="E185" s="423"/>
      <c r="F185" s="423"/>
      <c r="G185" s="440"/>
    </row>
    <row r="186" spans="1:9" ht="18.75" customHeight="1" x14ac:dyDescent="0.2">
      <c r="A186" s="423"/>
      <c r="B186" s="192"/>
      <c r="C186" s="423"/>
      <c r="D186" s="423"/>
      <c r="E186" s="423"/>
      <c r="F186" s="423"/>
      <c r="G186" s="440"/>
    </row>
    <row r="187" spans="1:9" ht="18.75" customHeight="1" x14ac:dyDescent="0.2">
      <c r="A187" s="423"/>
      <c r="B187" s="192"/>
      <c r="C187" s="423"/>
      <c r="D187" s="423"/>
      <c r="E187" s="423"/>
      <c r="F187" s="423"/>
      <c r="G187" s="440"/>
    </row>
    <row r="188" spans="1:9" ht="18.75" customHeight="1" x14ac:dyDescent="0.2">
      <c r="A188" s="423"/>
      <c r="B188" s="192"/>
      <c r="C188" s="423"/>
      <c r="D188" s="423"/>
      <c r="E188" s="423"/>
      <c r="F188" s="423"/>
      <c r="G188" s="440"/>
    </row>
    <row r="189" spans="1:9" ht="18.75" customHeight="1" x14ac:dyDescent="0.2">
      <c r="A189" s="423"/>
      <c r="B189" s="192"/>
      <c r="C189" s="423"/>
      <c r="D189" s="423"/>
      <c r="E189" s="423"/>
      <c r="F189" s="423"/>
      <c r="G189" s="440"/>
    </row>
    <row r="190" spans="1:9" ht="18.75" customHeight="1" x14ac:dyDescent="0.2">
      <c r="A190" s="423"/>
      <c r="B190" s="192"/>
      <c r="C190" s="423"/>
      <c r="D190" s="423"/>
      <c r="E190" s="423"/>
      <c r="F190" s="423"/>
      <c r="G190" s="440"/>
    </row>
    <row r="191" spans="1:9" ht="23.15" customHeight="1" thickBot="1" x14ac:dyDescent="0.25">
      <c r="A191" s="436"/>
      <c r="B191" s="187"/>
      <c r="C191" s="436"/>
      <c r="D191" s="436"/>
      <c r="E191" s="436"/>
      <c r="F191" s="436"/>
      <c r="G191" s="180"/>
    </row>
    <row r="192" spans="1:9" ht="14" x14ac:dyDescent="0.2">
      <c r="A192" s="176"/>
    </row>
    <row r="193" spans="1:9" ht="13.5" thickBot="1" x14ac:dyDescent="0.25">
      <c r="A193" s="415" t="s">
        <v>377</v>
      </c>
      <c r="B193" s="404"/>
      <c r="C193" s="404"/>
      <c r="D193" s="404"/>
      <c r="E193" s="404"/>
      <c r="F193" s="404"/>
      <c r="G193" s="404"/>
      <c r="H193" s="404"/>
      <c r="I193" s="404"/>
    </row>
    <row r="194" spans="1:9" ht="14.5" thickBot="1" x14ac:dyDescent="0.25">
      <c r="A194" s="193" t="s">
        <v>378</v>
      </c>
      <c r="B194" s="194" t="s">
        <v>379</v>
      </c>
      <c r="C194" s="194" t="s">
        <v>380</v>
      </c>
      <c r="D194" s="195"/>
    </row>
    <row r="195" spans="1:9" ht="18.75" customHeight="1" x14ac:dyDescent="0.2">
      <c r="A195" s="452"/>
      <c r="B195" s="452"/>
      <c r="C195" s="452"/>
      <c r="D195" s="440"/>
    </row>
    <row r="196" spans="1:9" ht="18.75" customHeight="1" x14ac:dyDescent="0.2">
      <c r="A196" s="423"/>
      <c r="B196" s="423"/>
      <c r="C196" s="423"/>
      <c r="D196" s="440"/>
    </row>
    <row r="197" spans="1:9" ht="18.75" customHeight="1" x14ac:dyDescent="0.2">
      <c r="A197" s="423"/>
      <c r="B197" s="423"/>
      <c r="C197" s="423"/>
      <c r="D197" s="440"/>
    </row>
    <row r="198" spans="1:9" ht="18.75" customHeight="1" x14ac:dyDescent="0.2">
      <c r="A198" s="423"/>
      <c r="B198" s="423"/>
      <c r="C198" s="423"/>
      <c r="D198" s="440"/>
    </row>
    <row r="199" spans="1:9" ht="18.75" customHeight="1" x14ac:dyDescent="0.2">
      <c r="A199" s="423"/>
      <c r="B199" s="423"/>
      <c r="C199" s="423"/>
      <c r="D199" s="440"/>
    </row>
    <row r="200" spans="1:9" ht="18.75" customHeight="1" x14ac:dyDescent="0.2">
      <c r="A200" s="423"/>
      <c r="B200" s="423"/>
      <c r="C200" s="423"/>
      <c r="D200" s="440"/>
    </row>
    <row r="201" spans="1:9" ht="18.75" customHeight="1" x14ac:dyDescent="0.2">
      <c r="A201" s="423"/>
      <c r="B201" s="423"/>
      <c r="C201" s="423"/>
      <c r="D201" s="440"/>
    </row>
    <row r="202" spans="1:9" ht="18.75" customHeight="1" thickBot="1" x14ac:dyDescent="0.25">
      <c r="A202" s="423"/>
      <c r="B202" s="460"/>
      <c r="C202" s="460"/>
      <c r="D202" s="440"/>
    </row>
    <row r="203" spans="1:9" ht="13.5" thickBot="1" x14ac:dyDescent="0.25">
      <c r="A203" s="460"/>
    </row>
    <row r="204" spans="1:9" ht="14" x14ac:dyDescent="0.2">
      <c r="A204" s="176"/>
    </row>
    <row r="205" spans="1:9" ht="14" x14ac:dyDescent="0.2">
      <c r="A205" s="176"/>
    </row>
    <row r="206" spans="1:9" ht="13.5" thickBot="1" x14ac:dyDescent="0.25">
      <c r="A206" s="415" t="s">
        <v>381</v>
      </c>
      <c r="B206" s="404"/>
      <c r="C206" s="404"/>
      <c r="D206" s="404"/>
      <c r="E206" s="404"/>
      <c r="F206" s="404"/>
      <c r="G206" s="404"/>
      <c r="H206" s="404"/>
      <c r="I206" s="404"/>
    </row>
    <row r="207" spans="1:9" ht="14.5" thickBot="1" x14ac:dyDescent="0.25">
      <c r="A207" s="193" t="s">
        <v>382</v>
      </c>
      <c r="B207" s="194" t="s">
        <v>379</v>
      </c>
      <c r="C207" s="194" t="s">
        <v>383</v>
      </c>
      <c r="D207" s="195"/>
    </row>
    <row r="208" spans="1:9" ht="18.75" customHeight="1" x14ac:dyDescent="0.2">
      <c r="A208" s="452"/>
      <c r="B208" s="452"/>
      <c r="C208" s="452"/>
      <c r="D208" s="440"/>
    </row>
    <row r="209" spans="1:9" ht="18.75" customHeight="1" x14ac:dyDescent="0.2">
      <c r="A209" s="423"/>
      <c r="B209" s="423"/>
      <c r="C209" s="423"/>
      <c r="D209" s="440"/>
    </row>
    <row r="210" spans="1:9" ht="18.75" customHeight="1" x14ac:dyDescent="0.2">
      <c r="A210" s="423"/>
      <c r="B210" s="423"/>
      <c r="C210" s="423"/>
      <c r="D210" s="440"/>
    </row>
    <row r="211" spans="1:9" ht="18.75" customHeight="1" x14ac:dyDescent="0.2">
      <c r="A211" s="423"/>
      <c r="B211" s="423"/>
      <c r="C211" s="423"/>
      <c r="D211" s="440"/>
    </row>
    <row r="212" spans="1:9" ht="18.75" customHeight="1" x14ac:dyDescent="0.2">
      <c r="A212" s="423"/>
      <c r="B212" s="423"/>
      <c r="C212" s="423"/>
      <c r="D212" s="440"/>
    </row>
    <row r="213" spans="1:9" ht="18.75" customHeight="1" x14ac:dyDescent="0.2">
      <c r="A213" s="423"/>
      <c r="B213" s="423"/>
      <c r="C213" s="423"/>
      <c r="D213" s="440"/>
    </row>
    <row r="214" spans="1:9" ht="18.75" customHeight="1" x14ac:dyDescent="0.2">
      <c r="A214" s="423"/>
      <c r="B214" s="423"/>
      <c r="C214" s="423"/>
      <c r="D214" s="440"/>
    </row>
    <row r="215" spans="1:9" ht="18.75" customHeight="1" x14ac:dyDescent="0.2">
      <c r="A215" s="423"/>
      <c r="B215" s="423"/>
      <c r="C215" s="423"/>
      <c r="D215" s="440"/>
    </row>
    <row r="216" spans="1:9" ht="18.75" customHeight="1" x14ac:dyDescent="0.2">
      <c r="A216" s="423"/>
      <c r="B216" s="423"/>
      <c r="C216" s="423"/>
      <c r="D216" s="440"/>
    </row>
    <row r="217" spans="1:9" ht="18.75" customHeight="1" x14ac:dyDescent="0.2">
      <c r="A217" s="423"/>
      <c r="B217" s="423"/>
      <c r="C217" s="423"/>
      <c r="D217" s="440"/>
    </row>
    <row r="218" spans="1:9" ht="23.15" customHeight="1" thickBot="1" x14ac:dyDescent="0.25">
      <c r="A218" s="436"/>
      <c r="B218" s="436"/>
      <c r="C218" s="436"/>
      <c r="D218" s="180"/>
    </row>
    <row r="219" spans="1:9" ht="14" x14ac:dyDescent="0.2">
      <c r="A219" s="176"/>
    </row>
    <row r="220" spans="1:9" ht="13.5" thickBot="1" x14ac:dyDescent="0.25">
      <c r="A220" s="415" t="s">
        <v>384</v>
      </c>
      <c r="B220" s="404"/>
      <c r="C220" s="404"/>
      <c r="D220" s="404"/>
      <c r="E220" s="404"/>
      <c r="F220" s="404"/>
      <c r="G220" s="404"/>
      <c r="H220" s="404"/>
      <c r="I220" s="404"/>
    </row>
    <row r="221" spans="1:9" ht="18.75" customHeight="1" x14ac:dyDescent="0.2">
      <c r="A221" s="452"/>
      <c r="B221" s="440"/>
    </row>
    <row r="222" spans="1:9" ht="18.75" customHeight="1" x14ac:dyDescent="0.2">
      <c r="A222" s="423"/>
      <c r="B222" s="440"/>
    </row>
    <row r="223" spans="1:9" ht="18.75" customHeight="1" x14ac:dyDescent="0.2">
      <c r="A223" s="423"/>
      <c r="B223" s="440"/>
    </row>
    <row r="224" spans="1:9" ht="18.75" customHeight="1" x14ac:dyDescent="0.2">
      <c r="A224" s="423"/>
      <c r="B224" s="440"/>
    </row>
    <row r="225" spans="1:9" ht="18.75" customHeight="1" x14ac:dyDescent="0.2">
      <c r="A225" s="423"/>
      <c r="B225" s="440"/>
    </row>
    <row r="226" spans="1:9" ht="18.75" customHeight="1" x14ac:dyDescent="0.2">
      <c r="A226" s="423"/>
      <c r="B226" s="440"/>
    </row>
    <row r="227" spans="1:9" ht="18.75" customHeight="1" x14ac:dyDescent="0.2">
      <c r="A227" s="423"/>
      <c r="B227" s="440"/>
    </row>
    <row r="228" spans="1:9" ht="18.75" customHeight="1" x14ac:dyDescent="0.2">
      <c r="A228" s="423"/>
      <c r="B228" s="440"/>
    </row>
    <row r="229" spans="1:9" ht="18.75" customHeight="1" x14ac:dyDescent="0.2">
      <c r="A229" s="423"/>
      <c r="B229" s="440"/>
    </row>
    <row r="230" spans="1:9" ht="23.15" customHeight="1" thickBot="1" x14ac:dyDescent="0.25">
      <c r="A230" s="436"/>
      <c r="B230" s="180"/>
    </row>
    <row r="231" spans="1:9" x14ac:dyDescent="0.2">
      <c r="A231" s="415" t="s">
        <v>385</v>
      </c>
      <c r="B231" s="404"/>
      <c r="C231" s="404"/>
      <c r="D231" s="404"/>
      <c r="E231" s="404"/>
      <c r="F231" s="404"/>
      <c r="G231" s="404"/>
      <c r="H231" s="404"/>
      <c r="I231" s="404"/>
    </row>
    <row r="233" spans="1:9" ht="13.5" thickBot="1" x14ac:dyDescent="0.25">
      <c r="A233" s="405" t="s">
        <v>386</v>
      </c>
      <c r="B233" s="404"/>
      <c r="C233" s="404"/>
      <c r="D233" s="404"/>
      <c r="E233" s="404"/>
      <c r="F233" s="404"/>
      <c r="G233" s="404"/>
      <c r="H233" s="404"/>
      <c r="I233" s="404"/>
    </row>
    <row r="234" spans="1:9" ht="18.75" customHeight="1" x14ac:dyDescent="0.2">
      <c r="A234" s="452"/>
      <c r="B234" s="440"/>
    </row>
    <row r="235" spans="1:9" ht="18.75" customHeight="1" x14ac:dyDescent="0.2">
      <c r="A235" s="423"/>
      <c r="B235" s="440"/>
    </row>
    <row r="236" spans="1:9" ht="18.75" customHeight="1" x14ac:dyDescent="0.2">
      <c r="A236" s="423"/>
      <c r="B236" s="440"/>
    </row>
    <row r="237" spans="1:9" ht="18.75" customHeight="1" x14ac:dyDescent="0.2">
      <c r="A237" s="423"/>
      <c r="B237" s="440"/>
    </row>
    <row r="238" spans="1:9" ht="18.75" customHeight="1" x14ac:dyDescent="0.2">
      <c r="A238" s="423"/>
      <c r="B238" s="440"/>
    </row>
    <row r="239" spans="1:9" ht="18.75" customHeight="1" x14ac:dyDescent="0.2">
      <c r="A239" s="423"/>
      <c r="B239" s="440"/>
    </row>
    <row r="240" spans="1:9" ht="23.15" customHeight="1" thickBot="1" x14ac:dyDescent="0.25">
      <c r="A240" s="436"/>
      <c r="B240" s="180"/>
    </row>
    <row r="242" spans="1:9" x14ac:dyDescent="0.2">
      <c r="A242" s="454" t="s">
        <v>387</v>
      </c>
      <c r="B242" s="404"/>
      <c r="C242" s="404"/>
      <c r="D242" s="404"/>
      <c r="E242" s="404"/>
      <c r="F242" s="404"/>
      <c r="G242" s="404"/>
      <c r="H242" s="404"/>
      <c r="I242" s="404"/>
    </row>
    <row r="243" spans="1:9" ht="14" x14ac:dyDescent="0.2">
      <c r="A243" s="176"/>
    </row>
    <row r="244" spans="1:9" x14ac:dyDescent="0.2">
      <c r="A244" s="415" t="s">
        <v>388</v>
      </c>
      <c r="B244" s="404"/>
      <c r="C244" s="404"/>
      <c r="D244" s="404"/>
      <c r="E244" s="404"/>
      <c r="F244" s="404"/>
      <c r="G244" s="404"/>
      <c r="H244" s="404"/>
      <c r="I244" s="404"/>
    </row>
    <row r="245" spans="1:9" ht="13.5" thickBot="1" x14ac:dyDescent="0.25">
      <c r="A245" s="405" t="s">
        <v>375</v>
      </c>
      <c r="B245" s="404"/>
      <c r="C245" s="404"/>
      <c r="D245" s="404"/>
      <c r="E245" s="404"/>
      <c r="F245" s="404"/>
      <c r="G245" s="404"/>
      <c r="H245" s="404"/>
      <c r="I245" s="404"/>
    </row>
    <row r="246" spans="1:9" ht="14.5" thickBot="1" x14ac:dyDescent="0.25">
      <c r="A246" s="193" t="s">
        <v>303</v>
      </c>
      <c r="B246" s="194" t="s">
        <v>304</v>
      </c>
      <c r="C246" s="194" t="s">
        <v>305</v>
      </c>
      <c r="D246" s="194" t="s">
        <v>306</v>
      </c>
      <c r="E246" s="194" t="s">
        <v>307</v>
      </c>
      <c r="F246" s="194" t="s">
        <v>218</v>
      </c>
      <c r="G246" s="195"/>
    </row>
    <row r="247" spans="1:9" ht="18.75" customHeight="1" x14ac:dyDescent="0.2">
      <c r="A247" s="179"/>
      <c r="B247" s="192"/>
      <c r="C247" s="192"/>
      <c r="D247" s="192"/>
      <c r="E247" s="192"/>
      <c r="F247" s="452"/>
      <c r="G247" s="440"/>
    </row>
    <row r="248" spans="1:9" ht="18.75" customHeight="1" x14ac:dyDescent="0.2">
      <c r="A248" s="178" t="s">
        <v>196</v>
      </c>
      <c r="B248" s="184" t="s">
        <v>309</v>
      </c>
      <c r="C248" s="184" t="s">
        <v>389</v>
      </c>
      <c r="D248" s="184" t="s">
        <v>390</v>
      </c>
      <c r="E248" s="184" t="s">
        <v>391</v>
      </c>
      <c r="F248" s="423"/>
      <c r="G248" s="440"/>
    </row>
    <row r="249" spans="1:9" ht="18.75" customHeight="1" x14ac:dyDescent="0.2">
      <c r="A249" s="179"/>
      <c r="B249" s="184" t="s">
        <v>313</v>
      </c>
      <c r="C249" s="184" t="s">
        <v>392</v>
      </c>
      <c r="D249" s="192"/>
      <c r="E249" s="192"/>
      <c r="F249" s="423"/>
      <c r="G249" s="440"/>
    </row>
    <row r="250" spans="1:9" ht="18.75" customHeight="1" x14ac:dyDescent="0.2">
      <c r="A250" s="205"/>
      <c r="B250" s="192"/>
      <c r="C250" s="192"/>
      <c r="D250" s="192"/>
      <c r="E250" s="192"/>
      <c r="F250" s="423"/>
      <c r="G250" s="440"/>
    </row>
    <row r="251" spans="1:9" ht="23.15" customHeight="1" thickBot="1" x14ac:dyDescent="0.25">
      <c r="A251" s="186"/>
      <c r="B251" s="201"/>
      <c r="C251" s="201"/>
      <c r="D251" s="187"/>
      <c r="E251" s="187"/>
      <c r="F251" s="436"/>
      <c r="G251" s="180"/>
    </row>
    <row r="252" spans="1:9" ht="14" x14ac:dyDescent="0.2">
      <c r="A252" s="176"/>
    </row>
    <row r="253" spans="1:9" ht="13.5" thickBot="1" x14ac:dyDescent="0.25">
      <c r="A253" s="415" t="s">
        <v>393</v>
      </c>
      <c r="B253" s="404"/>
      <c r="C253" s="404"/>
      <c r="D253" s="404"/>
      <c r="E253" s="404"/>
      <c r="F253" s="404"/>
      <c r="G253" s="404"/>
      <c r="H253" s="404"/>
      <c r="I253" s="404"/>
    </row>
    <row r="254" spans="1:9" ht="18.75" customHeight="1" x14ac:dyDescent="0.2">
      <c r="A254" s="449" t="s">
        <v>394</v>
      </c>
      <c r="B254" s="440"/>
    </row>
    <row r="255" spans="1:9" ht="18.75" customHeight="1" x14ac:dyDescent="0.2">
      <c r="A255" s="450"/>
      <c r="B255" s="440"/>
    </row>
    <row r="256" spans="1:9" ht="18.75" customHeight="1" x14ac:dyDescent="0.2">
      <c r="A256" s="450"/>
      <c r="B256" s="440"/>
    </row>
    <row r="257" spans="1:9" ht="18.75" customHeight="1" x14ac:dyDescent="0.2">
      <c r="A257" s="450"/>
      <c r="B257" s="440"/>
    </row>
    <row r="258" spans="1:9" ht="18.75" customHeight="1" x14ac:dyDescent="0.2">
      <c r="A258" s="450"/>
      <c r="B258" s="440"/>
    </row>
    <row r="259" spans="1:9" ht="23.15" customHeight="1" thickBot="1" x14ac:dyDescent="0.25">
      <c r="A259" s="451"/>
      <c r="B259" s="180"/>
    </row>
    <row r="260" spans="1:9" x14ac:dyDescent="0.2">
      <c r="A260" s="415" t="s">
        <v>395</v>
      </c>
      <c r="B260" s="404"/>
      <c r="C260" s="404"/>
      <c r="D260" s="404"/>
      <c r="E260" s="404"/>
      <c r="F260" s="404"/>
      <c r="G260" s="404"/>
      <c r="H260" s="404"/>
      <c r="I260" s="404"/>
    </row>
    <row r="261" spans="1:9" ht="14" x14ac:dyDescent="0.2">
      <c r="A261" s="176"/>
    </row>
    <row r="262" spans="1:9" ht="13.5" thickBot="1" x14ac:dyDescent="0.25">
      <c r="A262" s="415" t="s">
        <v>396</v>
      </c>
      <c r="B262" s="404"/>
      <c r="C262" s="404"/>
      <c r="D262" s="404"/>
      <c r="E262" s="404"/>
      <c r="F262" s="404"/>
      <c r="G262" s="404"/>
      <c r="H262" s="404"/>
      <c r="I262" s="404"/>
    </row>
    <row r="263" spans="1:9" ht="18.75" customHeight="1" x14ac:dyDescent="0.2">
      <c r="A263" s="174"/>
      <c r="B263" s="440"/>
    </row>
    <row r="264" spans="1:9" ht="18.75" customHeight="1" x14ac:dyDescent="0.2">
      <c r="A264" s="178" t="s">
        <v>397</v>
      </c>
      <c r="B264" s="440"/>
    </row>
    <row r="265" spans="1:9" ht="18.75" customHeight="1" x14ac:dyDescent="0.2">
      <c r="A265" s="179"/>
      <c r="B265" s="440"/>
    </row>
    <row r="266" spans="1:9" ht="18.75" customHeight="1" x14ac:dyDescent="0.2">
      <c r="A266" s="179"/>
      <c r="B266" s="440"/>
    </row>
    <row r="267" spans="1:9" ht="18.75" customHeight="1" x14ac:dyDescent="0.2">
      <c r="A267" s="179"/>
      <c r="B267" s="440"/>
    </row>
    <row r="268" spans="1:9" ht="18.75" customHeight="1" x14ac:dyDescent="0.2">
      <c r="A268" s="179"/>
      <c r="B268" s="440"/>
    </row>
    <row r="269" spans="1:9" ht="23.15" customHeight="1" x14ac:dyDescent="0.2">
      <c r="A269" s="179"/>
      <c r="B269" s="180"/>
    </row>
    <row r="270" spans="1:9" ht="23.15" customHeight="1" thickBot="1" x14ac:dyDescent="0.25">
      <c r="A270" s="191"/>
      <c r="B270" s="180"/>
    </row>
    <row r="271" spans="1:9" x14ac:dyDescent="0.2">
      <c r="A271" s="415" t="s">
        <v>398</v>
      </c>
      <c r="B271" s="404"/>
      <c r="C271" s="404"/>
      <c r="D271" s="404"/>
      <c r="E271" s="404"/>
      <c r="F271" s="404"/>
      <c r="G271" s="404"/>
      <c r="H271" s="404"/>
      <c r="I271" s="404"/>
    </row>
    <row r="272" spans="1:9" ht="13.5" thickBot="1" x14ac:dyDescent="0.25">
      <c r="A272" s="405" t="s">
        <v>399</v>
      </c>
      <c r="B272" s="404"/>
      <c r="C272" s="404"/>
      <c r="D272" s="404"/>
      <c r="E272" s="404"/>
      <c r="F272" s="404"/>
      <c r="G272" s="404"/>
      <c r="H272" s="404"/>
      <c r="I272" s="404"/>
    </row>
    <row r="273" spans="1:9" ht="14.25" customHeight="1" thickBot="1" x14ac:dyDescent="0.25">
      <c r="A273" s="193" t="s">
        <v>356</v>
      </c>
      <c r="B273" s="194" t="s">
        <v>320</v>
      </c>
      <c r="C273" s="194" t="s">
        <v>357</v>
      </c>
      <c r="D273" s="194" t="s">
        <v>358</v>
      </c>
      <c r="E273" s="180"/>
    </row>
    <row r="274" spans="1:9" ht="59.25" customHeight="1" thickBot="1" x14ac:dyDescent="0.25">
      <c r="A274" s="206"/>
      <c r="B274" s="203" t="s">
        <v>400</v>
      </c>
      <c r="C274" s="207"/>
      <c r="D274" s="207"/>
      <c r="E274" s="180"/>
    </row>
    <row r="275" spans="1:9" ht="14.65" customHeight="1" x14ac:dyDescent="0.2">
      <c r="A275" s="461"/>
      <c r="B275" s="461"/>
      <c r="C275" s="461"/>
      <c r="D275" s="461"/>
      <c r="E275" s="180"/>
    </row>
    <row r="276" spans="1:9" ht="14.65" customHeight="1" x14ac:dyDescent="0.2">
      <c r="A276" s="462"/>
      <c r="B276" s="462"/>
      <c r="C276" s="462"/>
      <c r="D276" s="462"/>
      <c r="E276" s="180"/>
    </row>
    <row r="277" spans="1:9" ht="14.65" customHeight="1" x14ac:dyDescent="0.2">
      <c r="A277" s="462"/>
      <c r="B277" s="462"/>
      <c r="C277" s="462"/>
      <c r="D277" s="462"/>
      <c r="E277" s="180"/>
    </row>
    <row r="278" spans="1:9" ht="14.65" customHeight="1" x14ac:dyDescent="0.2">
      <c r="A278" s="462"/>
      <c r="B278" s="462"/>
      <c r="C278" s="462"/>
      <c r="D278" s="462"/>
      <c r="E278" s="180"/>
    </row>
    <row r="279" spans="1:9" ht="24.25" customHeight="1" thickBot="1" x14ac:dyDescent="0.25">
      <c r="A279" s="463"/>
      <c r="B279" s="463"/>
      <c r="C279" s="463"/>
      <c r="D279" s="463"/>
      <c r="E279" s="180"/>
    </row>
    <row r="280" spans="1:9" ht="14.5" thickBot="1" x14ac:dyDescent="0.25">
      <c r="A280" s="176"/>
    </row>
    <row r="281" spans="1:9" ht="14.5" thickBot="1" x14ac:dyDescent="0.25">
      <c r="A281" s="193" t="s">
        <v>363</v>
      </c>
      <c r="B281" s="194" t="s">
        <v>364</v>
      </c>
      <c r="C281" s="195"/>
    </row>
    <row r="282" spans="1:9" ht="51.25" customHeight="1" thickBot="1" x14ac:dyDescent="0.25">
      <c r="A282" s="208"/>
      <c r="B282" s="207"/>
      <c r="C282" s="180"/>
    </row>
    <row r="283" spans="1:9" ht="23.15" customHeight="1" x14ac:dyDescent="0.2">
      <c r="A283" s="461"/>
      <c r="B283" s="461"/>
      <c r="C283" s="180"/>
    </row>
    <row r="284" spans="1:9" ht="23.15" customHeight="1" thickBot="1" x14ac:dyDescent="0.25">
      <c r="A284" s="463"/>
      <c r="B284" s="463"/>
      <c r="C284" s="180"/>
    </row>
    <row r="285" spans="1:9" x14ac:dyDescent="0.2">
      <c r="A285" s="209"/>
    </row>
    <row r="286" spans="1:9" x14ac:dyDescent="0.2">
      <c r="A286" s="454" t="s">
        <v>401</v>
      </c>
      <c r="B286" s="404"/>
      <c r="C286" s="404"/>
      <c r="D286" s="404"/>
      <c r="E286" s="404"/>
      <c r="F286" s="404"/>
      <c r="G286" s="404"/>
      <c r="H286" s="404"/>
      <c r="I286" s="404"/>
    </row>
    <row r="287" spans="1:9" x14ac:dyDescent="0.2">
      <c r="A287" s="454" t="s">
        <v>402</v>
      </c>
      <c r="B287" s="404"/>
      <c r="C287" s="404"/>
      <c r="D287" s="404"/>
      <c r="E287" s="404"/>
      <c r="F287" s="404"/>
      <c r="G287" s="404"/>
      <c r="H287" s="404"/>
      <c r="I287" s="404"/>
    </row>
    <row r="288" spans="1:9" x14ac:dyDescent="0.2">
      <c r="A288" s="454" t="s">
        <v>403</v>
      </c>
      <c r="B288" s="404"/>
      <c r="C288" s="404"/>
      <c r="D288" s="404"/>
      <c r="E288" s="404"/>
      <c r="F288" s="404"/>
      <c r="G288" s="404"/>
      <c r="H288" s="404"/>
      <c r="I288" s="404"/>
    </row>
    <row r="289" spans="1:9" ht="14" x14ac:dyDescent="0.2">
      <c r="A289" s="176"/>
    </row>
    <row r="290" spans="1:9" ht="14" x14ac:dyDescent="0.2">
      <c r="A290" s="176"/>
    </row>
    <row r="291" spans="1:9" ht="14" x14ac:dyDescent="0.2">
      <c r="A291" s="176"/>
    </row>
    <row r="292" spans="1:9" ht="14" x14ac:dyDescent="0.2">
      <c r="A292" s="176"/>
    </row>
    <row r="293" spans="1:9" ht="14" x14ac:dyDescent="0.2">
      <c r="A293" s="176"/>
    </row>
    <row r="294" spans="1:9" ht="14" x14ac:dyDescent="0.2">
      <c r="A294" s="176"/>
    </row>
    <row r="295" spans="1:9" ht="14" x14ac:dyDescent="0.2">
      <c r="A295" s="176"/>
    </row>
    <row r="296" spans="1:9" ht="14" x14ac:dyDescent="0.2">
      <c r="A296" s="176"/>
    </row>
    <row r="297" spans="1:9" ht="14" x14ac:dyDescent="0.2">
      <c r="A297" s="176"/>
    </row>
    <row r="298" spans="1:9" ht="13.5" thickBot="1" x14ac:dyDescent="0.25">
      <c r="A298" s="415" t="s">
        <v>404</v>
      </c>
      <c r="B298" s="404"/>
      <c r="C298" s="404"/>
      <c r="D298" s="404"/>
      <c r="E298" s="404"/>
      <c r="F298" s="404"/>
      <c r="G298" s="404"/>
      <c r="H298" s="404"/>
      <c r="I298" s="404"/>
    </row>
    <row r="299" spans="1:9" ht="14.5" thickBot="1" x14ac:dyDescent="0.25">
      <c r="A299" s="193" t="s">
        <v>320</v>
      </c>
      <c r="B299" s="194" t="s">
        <v>405</v>
      </c>
      <c r="C299" s="195"/>
    </row>
    <row r="300" spans="1:9" ht="18.75" customHeight="1" x14ac:dyDescent="0.2">
      <c r="A300" s="452"/>
      <c r="B300" s="452"/>
      <c r="C300" s="440"/>
    </row>
    <row r="301" spans="1:9" ht="18.75" customHeight="1" x14ac:dyDescent="0.2">
      <c r="A301" s="423"/>
      <c r="B301" s="423"/>
      <c r="C301" s="440"/>
    </row>
    <row r="302" spans="1:9" ht="18.75" customHeight="1" x14ac:dyDescent="0.2">
      <c r="A302" s="423"/>
      <c r="B302" s="423"/>
      <c r="C302" s="440"/>
    </row>
    <row r="303" spans="1:9" ht="18.75" customHeight="1" x14ac:dyDescent="0.2">
      <c r="A303" s="423"/>
      <c r="B303" s="423"/>
      <c r="C303" s="440"/>
    </row>
    <row r="304" spans="1:9" ht="23.15" customHeight="1" thickBot="1" x14ac:dyDescent="0.25">
      <c r="A304" s="436"/>
      <c r="B304" s="436"/>
      <c r="C304" s="180"/>
    </row>
    <row r="305" spans="1:9" ht="14" x14ac:dyDescent="0.2">
      <c r="A305" s="176"/>
    </row>
    <row r="306" spans="1:9" ht="14" x14ac:dyDescent="0.2">
      <c r="A306" s="176"/>
    </row>
    <row r="307" spans="1:9" ht="13.5" thickBot="1" x14ac:dyDescent="0.25">
      <c r="A307" s="415" t="s">
        <v>406</v>
      </c>
      <c r="B307" s="404"/>
      <c r="C307" s="404"/>
      <c r="D307" s="404"/>
      <c r="E307" s="404"/>
      <c r="F307" s="404"/>
      <c r="G307" s="404"/>
      <c r="H307" s="404"/>
      <c r="I307" s="404"/>
    </row>
    <row r="308" spans="1:9" ht="14.5" thickBot="1" x14ac:dyDescent="0.25">
      <c r="A308" s="193" t="s">
        <v>320</v>
      </c>
      <c r="B308" s="194" t="s">
        <v>405</v>
      </c>
      <c r="C308" s="195"/>
    </row>
    <row r="309" spans="1:9" ht="18.75" customHeight="1" x14ac:dyDescent="0.2">
      <c r="A309" s="452"/>
      <c r="B309" s="452"/>
      <c r="C309" s="440"/>
    </row>
    <row r="310" spans="1:9" ht="18.75" customHeight="1" x14ac:dyDescent="0.2">
      <c r="A310" s="423"/>
      <c r="B310" s="423"/>
      <c r="C310" s="440"/>
    </row>
    <row r="311" spans="1:9" ht="18.75" customHeight="1" x14ac:dyDescent="0.2">
      <c r="A311" s="423"/>
      <c r="B311" s="423"/>
      <c r="C311" s="440"/>
    </row>
    <row r="312" spans="1:9" ht="18.75" customHeight="1" x14ac:dyDescent="0.2">
      <c r="A312" s="423"/>
      <c r="B312" s="423"/>
      <c r="C312" s="440"/>
    </row>
    <row r="313" spans="1:9" ht="23.15" customHeight="1" thickBot="1" x14ac:dyDescent="0.25">
      <c r="A313" s="436"/>
      <c r="B313" s="436"/>
      <c r="C313" s="180"/>
    </row>
    <row r="314" spans="1:9" x14ac:dyDescent="0.2">
      <c r="A314" s="405" t="s">
        <v>407</v>
      </c>
      <c r="B314" s="404"/>
      <c r="C314" s="404"/>
      <c r="D314" s="404"/>
      <c r="E314" s="404"/>
      <c r="F314" s="404"/>
      <c r="G314" s="404"/>
      <c r="H314" s="404"/>
      <c r="I314" s="404"/>
    </row>
    <row r="315" spans="1:9" ht="14" x14ac:dyDescent="0.2">
      <c r="A315" s="176"/>
    </row>
    <row r="316" spans="1:9" ht="14" x14ac:dyDescent="0.2">
      <c r="A316" s="176"/>
    </row>
    <row r="317" spans="1:9" x14ac:dyDescent="0.2">
      <c r="A317" s="415" t="s">
        <v>408</v>
      </c>
      <c r="B317" s="404"/>
      <c r="C317" s="404"/>
      <c r="D317" s="404"/>
      <c r="E317" s="404"/>
      <c r="F317" s="404"/>
      <c r="G317" s="404"/>
      <c r="H317" s="404"/>
      <c r="I317" s="404"/>
    </row>
    <row r="318" spans="1:9" ht="13.5" thickBot="1" x14ac:dyDescent="0.25">
      <c r="A318" s="405" t="s">
        <v>409</v>
      </c>
      <c r="B318" s="404"/>
      <c r="C318" s="404"/>
      <c r="D318" s="404"/>
      <c r="E318" s="404"/>
      <c r="F318" s="404"/>
      <c r="G318" s="404"/>
      <c r="H318" s="404"/>
      <c r="I318" s="404"/>
    </row>
    <row r="319" spans="1:9" ht="13.5" thickBot="1" x14ac:dyDescent="0.25">
      <c r="A319" s="193" t="s">
        <v>410</v>
      </c>
      <c r="B319" s="194" t="s">
        <v>358</v>
      </c>
      <c r="C319" s="194" t="s">
        <v>411</v>
      </c>
    </row>
    <row r="320" spans="1:9" ht="14" x14ac:dyDescent="0.2">
      <c r="A320" s="179"/>
      <c r="B320" s="192"/>
      <c r="C320" s="192"/>
    </row>
    <row r="321" spans="1:9" ht="14" x14ac:dyDescent="0.2">
      <c r="A321" s="178" t="s">
        <v>412</v>
      </c>
      <c r="B321" s="184" t="s">
        <v>413</v>
      </c>
      <c r="C321" s="192" t="s">
        <v>414</v>
      </c>
    </row>
    <row r="322" spans="1:9" ht="14" x14ac:dyDescent="0.2">
      <c r="A322" s="178" t="s">
        <v>415</v>
      </c>
      <c r="B322" s="184" t="s">
        <v>416</v>
      </c>
      <c r="C322" s="192" t="s">
        <v>417</v>
      </c>
    </row>
    <row r="323" spans="1:9" ht="14" x14ac:dyDescent="0.2">
      <c r="A323" s="179"/>
      <c r="B323" s="192"/>
      <c r="C323" s="210"/>
    </row>
    <row r="324" spans="1:9" ht="14.5" thickBot="1" x14ac:dyDescent="0.25">
      <c r="A324" s="186"/>
      <c r="B324" s="201"/>
      <c r="C324" s="187"/>
    </row>
    <row r="325" spans="1:9" x14ac:dyDescent="0.2">
      <c r="A325" s="415" t="s">
        <v>418</v>
      </c>
      <c r="B325" s="404"/>
      <c r="C325" s="404"/>
      <c r="D325" s="404"/>
      <c r="E325" s="404"/>
      <c r="F325" s="404"/>
      <c r="G325" s="404"/>
      <c r="H325" s="404"/>
      <c r="I325" s="404"/>
    </row>
    <row r="327" spans="1:9" ht="14" x14ac:dyDescent="0.2">
      <c r="A327" s="176"/>
    </row>
    <row r="328" spans="1:9" ht="13.5" thickBot="1" x14ac:dyDescent="0.25">
      <c r="A328" s="415" t="s">
        <v>419</v>
      </c>
      <c r="B328" s="404"/>
      <c r="C328" s="404"/>
      <c r="D328" s="404"/>
      <c r="E328" s="404"/>
      <c r="F328" s="404"/>
      <c r="G328" s="404"/>
      <c r="H328" s="404"/>
      <c r="I328" s="404"/>
    </row>
    <row r="329" spans="1:9" ht="14.5" thickBot="1" x14ac:dyDescent="0.25">
      <c r="A329" s="193" t="s">
        <v>420</v>
      </c>
      <c r="B329" s="194" t="s">
        <v>421</v>
      </c>
      <c r="C329" s="194" t="s">
        <v>422</v>
      </c>
      <c r="D329" s="195"/>
    </row>
    <row r="330" spans="1:9" ht="18.75" customHeight="1" x14ac:dyDescent="0.2">
      <c r="A330" s="179"/>
      <c r="B330" s="192"/>
      <c r="C330" s="192"/>
      <c r="D330" s="440"/>
    </row>
    <row r="331" spans="1:9" ht="18.75" customHeight="1" x14ac:dyDescent="0.2">
      <c r="A331" s="178" t="s">
        <v>423</v>
      </c>
      <c r="B331" s="184" t="s">
        <v>424</v>
      </c>
      <c r="C331" s="184" t="s">
        <v>425</v>
      </c>
      <c r="D331" s="440"/>
    </row>
    <row r="332" spans="1:9" ht="18.75" customHeight="1" x14ac:dyDescent="0.2">
      <c r="A332" s="179"/>
      <c r="B332" s="192"/>
      <c r="C332" s="192"/>
      <c r="D332" s="440"/>
    </row>
    <row r="333" spans="1:9" ht="23.15" customHeight="1" thickBot="1" x14ac:dyDescent="0.25">
      <c r="A333" s="186"/>
      <c r="B333" s="201"/>
      <c r="C333" s="201"/>
      <c r="D333" s="180"/>
    </row>
    <row r="334" spans="1:9" x14ac:dyDescent="0.2">
      <c r="A334" s="415" t="s">
        <v>426</v>
      </c>
      <c r="B334" s="404"/>
      <c r="C334" s="404"/>
      <c r="D334" s="404"/>
      <c r="E334" s="404"/>
      <c r="F334" s="404"/>
      <c r="G334" s="404"/>
      <c r="H334" s="404"/>
      <c r="I334" s="404"/>
    </row>
    <row r="335" spans="1:9" ht="14" x14ac:dyDescent="0.2">
      <c r="A335" s="176"/>
    </row>
    <row r="336" spans="1:9" ht="14" x14ac:dyDescent="0.2">
      <c r="A336" s="176"/>
    </row>
    <row r="337" spans="1:9" ht="13.5" thickBot="1" x14ac:dyDescent="0.25">
      <c r="A337" s="415" t="s">
        <v>427</v>
      </c>
      <c r="B337" s="404"/>
      <c r="C337" s="404"/>
      <c r="D337" s="404"/>
      <c r="E337" s="404"/>
      <c r="F337" s="404"/>
      <c r="G337" s="404"/>
      <c r="H337" s="404"/>
      <c r="I337" s="404"/>
    </row>
    <row r="338" spans="1:9" ht="13.5" thickBot="1" x14ac:dyDescent="0.25">
      <c r="A338" s="193" t="s">
        <v>410</v>
      </c>
      <c r="B338" s="194" t="s">
        <v>358</v>
      </c>
      <c r="C338" s="194" t="s">
        <v>411</v>
      </c>
    </row>
    <row r="339" spans="1:9" x14ac:dyDescent="0.2">
      <c r="A339" s="452"/>
      <c r="B339" s="452"/>
      <c r="C339" s="452"/>
    </row>
    <row r="340" spans="1:9" x14ac:dyDescent="0.2">
      <c r="A340" s="423"/>
      <c r="B340" s="423"/>
      <c r="C340" s="423"/>
    </row>
    <row r="341" spans="1:9" x14ac:dyDescent="0.2">
      <c r="A341" s="423"/>
      <c r="B341" s="423"/>
      <c r="C341" s="423"/>
    </row>
    <row r="342" spans="1:9" x14ac:dyDescent="0.2">
      <c r="A342" s="423"/>
      <c r="B342" s="423"/>
      <c r="C342" s="423"/>
    </row>
    <row r="343" spans="1:9" ht="13.5" thickBot="1" x14ac:dyDescent="0.25">
      <c r="A343" s="436"/>
      <c r="B343" s="436"/>
      <c r="C343" s="436"/>
    </row>
    <row r="344" spans="1:9" x14ac:dyDescent="0.2">
      <c r="A344" s="415" t="s">
        <v>428</v>
      </c>
      <c r="B344" s="404"/>
      <c r="C344" s="404"/>
      <c r="D344" s="404"/>
      <c r="E344" s="404"/>
      <c r="F344" s="404"/>
      <c r="G344" s="404"/>
      <c r="H344" s="404"/>
      <c r="I344" s="404"/>
    </row>
    <row r="345" spans="1:9" ht="14" x14ac:dyDescent="0.2">
      <c r="A345" s="176"/>
    </row>
    <row r="346" spans="1:9" ht="14" x14ac:dyDescent="0.2">
      <c r="A346" s="176"/>
    </row>
    <row r="347" spans="1:9" ht="13.5" thickBot="1" x14ac:dyDescent="0.25">
      <c r="A347" s="415" t="s">
        <v>429</v>
      </c>
      <c r="B347" s="404"/>
      <c r="C347" s="404"/>
      <c r="D347" s="404"/>
      <c r="E347" s="404"/>
      <c r="F347" s="404"/>
      <c r="G347" s="404"/>
      <c r="H347" s="404"/>
      <c r="I347" s="404"/>
    </row>
    <row r="348" spans="1:9" ht="14.5" thickBot="1" x14ac:dyDescent="0.25">
      <c r="A348" s="193" t="s">
        <v>420</v>
      </c>
      <c r="B348" s="194" t="s">
        <v>421</v>
      </c>
      <c r="C348" s="194" t="s">
        <v>430</v>
      </c>
      <c r="D348" s="195"/>
    </row>
    <row r="349" spans="1:9" ht="18.75" customHeight="1" x14ac:dyDescent="0.2">
      <c r="A349" s="452"/>
      <c r="B349" s="452"/>
      <c r="C349" s="452"/>
      <c r="D349" s="440"/>
    </row>
    <row r="350" spans="1:9" ht="18.75" customHeight="1" x14ac:dyDescent="0.2">
      <c r="A350" s="423"/>
      <c r="B350" s="423"/>
      <c r="C350" s="423"/>
      <c r="D350" s="440"/>
    </row>
    <row r="351" spans="1:9" ht="18.75" customHeight="1" x14ac:dyDescent="0.2">
      <c r="A351" s="423"/>
      <c r="B351" s="423"/>
      <c r="C351" s="423"/>
      <c r="D351" s="440"/>
    </row>
    <row r="352" spans="1:9" ht="18.75" customHeight="1" x14ac:dyDescent="0.2">
      <c r="A352" s="423"/>
      <c r="B352" s="423"/>
      <c r="C352" s="423"/>
      <c r="D352" s="440"/>
    </row>
    <row r="353" spans="1:9" ht="23.15" customHeight="1" thickBot="1" x14ac:dyDescent="0.25">
      <c r="A353" s="436"/>
      <c r="B353" s="436"/>
      <c r="C353" s="436"/>
      <c r="D353" s="180"/>
    </row>
    <row r="354" spans="1:9" x14ac:dyDescent="0.2">
      <c r="A354" s="415" t="s">
        <v>431</v>
      </c>
      <c r="B354" s="404"/>
      <c r="C354" s="404"/>
      <c r="D354" s="404"/>
      <c r="E354" s="404"/>
      <c r="F354" s="404"/>
      <c r="G354" s="404"/>
      <c r="H354" s="404"/>
      <c r="I354" s="404"/>
    </row>
    <row r="355" spans="1:9" ht="14" x14ac:dyDescent="0.2">
      <c r="A355" s="176"/>
    </row>
    <row r="356" spans="1:9" ht="14" x14ac:dyDescent="0.2">
      <c r="A356" s="176"/>
    </row>
    <row r="357" spans="1:9" ht="13.5" thickBot="1" x14ac:dyDescent="0.25">
      <c r="A357" s="415" t="s">
        <v>432</v>
      </c>
      <c r="B357" s="404"/>
      <c r="C357" s="404"/>
      <c r="D357" s="404"/>
      <c r="E357" s="404"/>
      <c r="F357" s="404"/>
      <c r="G357" s="404"/>
      <c r="H357" s="404"/>
      <c r="I357" s="404"/>
    </row>
    <row r="358" spans="1:9" x14ac:dyDescent="0.2">
      <c r="A358" s="464"/>
    </row>
    <row r="359" spans="1:9" x14ac:dyDescent="0.2">
      <c r="A359" s="465"/>
    </row>
    <row r="360" spans="1:9" x14ac:dyDescent="0.2">
      <c r="A360" s="465"/>
    </row>
    <row r="361" spans="1:9" ht="13.5" thickBot="1" x14ac:dyDescent="0.25">
      <c r="A361" s="466"/>
    </row>
    <row r="363" spans="1:9" x14ac:dyDescent="0.2">
      <c r="A363" s="415" t="s">
        <v>433</v>
      </c>
      <c r="B363" s="404"/>
      <c r="C363" s="404"/>
      <c r="D363" s="404"/>
      <c r="E363" s="404"/>
      <c r="F363" s="404"/>
      <c r="G363" s="404"/>
      <c r="H363" s="404"/>
      <c r="I363" s="404"/>
    </row>
    <row r="364" spans="1:9" x14ac:dyDescent="0.2">
      <c r="A364" s="415" t="s">
        <v>434</v>
      </c>
      <c r="B364" s="404"/>
      <c r="C364" s="404"/>
      <c r="D364" s="404"/>
      <c r="E364" s="404"/>
      <c r="F364" s="404"/>
      <c r="G364" s="404"/>
      <c r="H364" s="404"/>
      <c r="I364" s="404"/>
    </row>
  </sheetData>
  <mergeCells count="186">
    <mergeCell ref="A357:I357"/>
    <mergeCell ref="A358:A361"/>
    <mergeCell ref="A363:I363"/>
    <mergeCell ref="A364:I364"/>
    <mergeCell ref="A347:I347"/>
    <mergeCell ref="A349:A353"/>
    <mergeCell ref="B349:B353"/>
    <mergeCell ref="C349:C353"/>
    <mergeCell ref="D349:D352"/>
    <mergeCell ref="A354:I354"/>
    <mergeCell ref="A334:I334"/>
    <mergeCell ref="A337:I337"/>
    <mergeCell ref="A339:A343"/>
    <mergeCell ref="B339:B343"/>
    <mergeCell ref="C339:C343"/>
    <mergeCell ref="A344:I344"/>
    <mergeCell ref="A314:I314"/>
    <mergeCell ref="A317:I317"/>
    <mergeCell ref="A318:I318"/>
    <mergeCell ref="A325:I325"/>
    <mergeCell ref="A328:I328"/>
    <mergeCell ref="D330:D332"/>
    <mergeCell ref="A300:A304"/>
    <mergeCell ref="B300:B304"/>
    <mergeCell ref="C300:C303"/>
    <mergeCell ref="A307:I307"/>
    <mergeCell ref="A309:A313"/>
    <mergeCell ref="B309:B313"/>
    <mergeCell ref="C309:C312"/>
    <mergeCell ref="A283:A284"/>
    <mergeCell ref="B283:B284"/>
    <mergeCell ref="A286:I286"/>
    <mergeCell ref="A287:I287"/>
    <mergeCell ref="A288:I288"/>
    <mergeCell ref="A298:I298"/>
    <mergeCell ref="A260:I260"/>
    <mergeCell ref="A262:I262"/>
    <mergeCell ref="B263:B268"/>
    <mergeCell ref="A271:I271"/>
    <mergeCell ref="A272:I272"/>
    <mergeCell ref="A275:A279"/>
    <mergeCell ref="B275:B279"/>
    <mergeCell ref="C275:C279"/>
    <mergeCell ref="D275:D279"/>
    <mergeCell ref="A245:I245"/>
    <mergeCell ref="F247:F251"/>
    <mergeCell ref="G247:G250"/>
    <mergeCell ref="A253:I253"/>
    <mergeCell ref="A254:A259"/>
    <mergeCell ref="B254:B258"/>
    <mergeCell ref="A231:I231"/>
    <mergeCell ref="A233:I233"/>
    <mergeCell ref="A234:A240"/>
    <mergeCell ref="B234:B239"/>
    <mergeCell ref="A242:I242"/>
    <mergeCell ref="A244:I244"/>
    <mergeCell ref="A208:A218"/>
    <mergeCell ref="B208:B218"/>
    <mergeCell ref="C208:C218"/>
    <mergeCell ref="D208:D217"/>
    <mergeCell ref="A220:I220"/>
    <mergeCell ref="A221:A230"/>
    <mergeCell ref="B221:B229"/>
    <mergeCell ref="A193:I193"/>
    <mergeCell ref="A195:A203"/>
    <mergeCell ref="B195:B202"/>
    <mergeCell ref="C195:C202"/>
    <mergeCell ref="D195:D202"/>
    <mergeCell ref="A206:I206"/>
    <mergeCell ref="A177:I177"/>
    <mergeCell ref="A179:I179"/>
    <mergeCell ref="A180:I180"/>
    <mergeCell ref="A181:I181"/>
    <mergeCell ref="A183:A191"/>
    <mergeCell ref="C183:C191"/>
    <mergeCell ref="D183:D191"/>
    <mergeCell ref="E183:E191"/>
    <mergeCell ref="F183:F191"/>
    <mergeCell ref="G183:G190"/>
    <mergeCell ref="A162:I162"/>
    <mergeCell ref="A163:I163"/>
    <mergeCell ref="A164:I164"/>
    <mergeCell ref="A165:I165"/>
    <mergeCell ref="A167:I167"/>
    <mergeCell ref="A168:A176"/>
    <mergeCell ref="B168:B175"/>
    <mergeCell ref="A144:I144"/>
    <mergeCell ref="A146:I146"/>
    <mergeCell ref="A150:I150"/>
    <mergeCell ref="A152:I152"/>
    <mergeCell ref="A153:I153"/>
    <mergeCell ref="B159:B161"/>
    <mergeCell ref="A138:A142"/>
    <mergeCell ref="B138:B142"/>
    <mergeCell ref="C138:C142"/>
    <mergeCell ref="F138:F142"/>
    <mergeCell ref="G138:G141"/>
    <mergeCell ref="A143:I143"/>
    <mergeCell ref="B131:B132"/>
    <mergeCell ref="C131:C132"/>
    <mergeCell ref="D131:D132"/>
    <mergeCell ref="A133:I133"/>
    <mergeCell ref="A135:I135"/>
    <mergeCell ref="A136:I136"/>
    <mergeCell ref="A119:I119"/>
    <mergeCell ref="A121:I121"/>
    <mergeCell ref="A123:I123"/>
    <mergeCell ref="D125:D126"/>
    <mergeCell ref="A127:I127"/>
    <mergeCell ref="A129:I129"/>
    <mergeCell ref="A103:I103"/>
    <mergeCell ref="A104:I104"/>
    <mergeCell ref="A105:I105"/>
    <mergeCell ref="F107:F110"/>
    <mergeCell ref="G107:G109"/>
    <mergeCell ref="A111:I111"/>
    <mergeCell ref="C94:C97"/>
    <mergeCell ref="D94:D96"/>
    <mergeCell ref="A98:I98"/>
    <mergeCell ref="A99:I99"/>
    <mergeCell ref="A100:I100"/>
    <mergeCell ref="A102:I102"/>
    <mergeCell ref="B84:B85"/>
    <mergeCell ref="A87:I87"/>
    <mergeCell ref="A88:I88"/>
    <mergeCell ref="A90:I90"/>
    <mergeCell ref="A91:I91"/>
    <mergeCell ref="D92:D93"/>
    <mergeCell ref="A77:I77"/>
    <mergeCell ref="A78:A80"/>
    <mergeCell ref="B78:B79"/>
    <mergeCell ref="A81:I81"/>
    <mergeCell ref="A82:I82"/>
    <mergeCell ref="A83:I83"/>
    <mergeCell ref="H59:H60"/>
    <mergeCell ref="A64:I64"/>
    <mergeCell ref="B65:B67"/>
    <mergeCell ref="B68:B72"/>
    <mergeCell ref="A74:I74"/>
    <mergeCell ref="A75:I75"/>
    <mergeCell ref="B59:B60"/>
    <mergeCell ref="C59:C60"/>
    <mergeCell ref="D59:D60"/>
    <mergeCell ref="E59:E60"/>
    <mergeCell ref="F59:F60"/>
    <mergeCell ref="G59:G60"/>
    <mergeCell ref="A38:I38"/>
    <mergeCell ref="A42:I42"/>
    <mergeCell ref="B43:B48"/>
    <mergeCell ref="A50:I50"/>
    <mergeCell ref="A52:I52"/>
    <mergeCell ref="C53:G53"/>
    <mergeCell ref="I53:I60"/>
    <mergeCell ref="C54:G54"/>
    <mergeCell ref="B57:B58"/>
    <mergeCell ref="H57:H58"/>
    <mergeCell ref="A28:B28"/>
    <mergeCell ref="A29:B29"/>
    <mergeCell ref="A30:A33"/>
    <mergeCell ref="A34:B34"/>
    <mergeCell ref="A35:I35"/>
    <mergeCell ref="A36:I36"/>
    <mergeCell ref="A15:B15"/>
    <mergeCell ref="G15:G19"/>
    <mergeCell ref="H15:H33"/>
    <mergeCell ref="A16:A19"/>
    <mergeCell ref="A20:B20"/>
    <mergeCell ref="G20:G22"/>
    <mergeCell ref="A21:A22"/>
    <mergeCell ref="A23:B23"/>
    <mergeCell ref="A24:A26"/>
    <mergeCell ref="A27:B27"/>
    <mergeCell ref="A9:I9"/>
    <mergeCell ref="A11:I11"/>
    <mergeCell ref="A12:I12"/>
    <mergeCell ref="A13:B13"/>
    <mergeCell ref="C13:C14"/>
    <mergeCell ref="D13:F13"/>
    <mergeCell ref="A14:B14"/>
    <mergeCell ref="A1:I1"/>
    <mergeCell ref="A2:I2"/>
    <mergeCell ref="A3:I3"/>
    <mergeCell ref="A4:I4"/>
    <mergeCell ref="A5:I5"/>
    <mergeCell ref="A6:A7"/>
    <mergeCell ref="B6:B7"/>
  </mergeCells>
  <phoneticPr fontId="7"/>
  <pageMargins left="0.75" right="0.75" top="1" bottom="1" header="0.5" footer="0.5"/>
  <pageSetup paperSize="9"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F6A-2F0B-4D9D-8354-11C6E40D9965}">
  <sheetPr>
    <tabColor rgb="FF7030A0"/>
    <pageSetUpPr fitToPage="1"/>
  </sheetPr>
  <dimension ref="A1:M26"/>
  <sheetViews>
    <sheetView workbookViewId="0"/>
  </sheetViews>
  <sheetFormatPr defaultRowHeight="13" x14ac:dyDescent="0.2"/>
  <cols>
    <col min="1" max="1" width="9" style="13"/>
    <col min="2" max="2" width="15.08984375" style="13" bestFit="1" customWidth="1"/>
    <col min="3" max="3" width="9" style="13"/>
    <col min="4" max="4" width="9" customWidth="1"/>
    <col min="5" max="5" width="11" style="233" bestFit="1" customWidth="1"/>
    <col min="6" max="6" width="28.08984375" style="13" bestFit="1" customWidth="1"/>
    <col min="7" max="7" width="79" style="298" customWidth="1"/>
    <col min="8" max="8" width="47.08984375" bestFit="1" customWidth="1"/>
  </cols>
  <sheetData>
    <row r="1" spans="1:7" ht="50.15" customHeight="1" x14ac:dyDescent="0.2">
      <c r="A1" s="288" t="s">
        <v>479</v>
      </c>
      <c r="B1" s="289" t="s">
        <v>36</v>
      </c>
      <c r="C1" s="289" t="s">
        <v>486</v>
      </c>
      <c r="D1" s="289" t="s">
        <v>488</v>
      </c>
      <c r="E1" s="289" t="s">
        <v>483</v>
      </c>
      <c r="F1" s="289" t="s">
        <v>501</v>
      </c>
      <c r="G1" s="290" t="s">
        <v>478</v>
      </c>
    </row>
    <row r="2" spans="1:7" ht="50.15" customHeight="1" x14ac:dyDescent="0.2">
      <c r="A2" s="21">
        <v>1</v>
      </c>
      <c r="B2" s="291" t="s">
        <v>8</v>
      </c>
      <c r="C2" s="293" t="s">
        <v>487</v>
      </c>
      <c r="D2" s="148" t="s">
        <v>489</v>
      </c>
      <c r="E2" s="230">
        <v>55200</v>
      </c>
      <c r="F2" s="291"/>
      <c r="G2" s="221" t="s">
        <v>480</v>
      </c>
    </row>
    <row r="3" spans="1:7" ht="50.15" customHeight="1" x14ac:dyDescent="0.2">
      <c r="A3" s="21">
        <v>2</v>
      </c>
      <c r="B3" s="292" t="s">
        <v>195</v>
      </c>
      <c r="C3" s="293" t="s">
        <v>487</v>
      </c>
      <c r="D3" s="148" t="s">
        <v>489</v>
      </c>
      <c r="E3" s="230">
        <v>45300</v>
      </c>
      <c r="F3" s="291"/>
      <c r="G3" s="221" t="s">
        <v>480</v>
      </c>
    </row>
    <row r="4" spans="1:7" ht="50.15" customHeight="1" x14ac:dyDescent="0.2">
      <c r="A4" s="21">
        <v>3</v>
      </c>
      <c r="B4" s="291" t="s">
        <v>9</v>
      </c>
      <c r="C4" s="293" t="s">
        <v>487</v>
      </c>
      <c r="D4" s="148" t="s">
        <v>489</v>
      </c>
      <c r="E4" s="229">
        <v>35600</v>
      </c>
      <c r="F4" s="292"/>
      <c r="G4" s="221" t="s">
        <v>480</v>
      </c>
    </row>
    <row r="5" spans="1:7" ht="50.15" customHeight="1" x14ac:dyDescent="0.2">
      <c r="A5" s="21">
        <v>4</v>
      </c>
      <c r="B5" s="292" t="s">
        <v>7</v>
      </c>
      <c r="C5" s="293" t="s">
        <v>487</v>
      </c>
      <c r="D5" s="148" t="s">
        <v>489</v>
      </c>
      <c r="E5" s="231">
        <v>31600</v>
      </c>
      <c r="F5" s="293"/>
      <c r="G5" s="221" t="s">
        <v>480</v>
      </c>
    </row>
    <row r="6" spans="1:7" ht="50.15" customHeight="1" x14ac:dyDescent="0.2">
      <c r="A6" s="21">
        <v>5</v>
      </c>
      <c r="B6" s="293" t="s">
        <v>45</v>
      </c>
      <c r="C6" s="293" t="s">
        <v>490</v>
      </c>
      <c r="D6" s="148"/>
      <c r="E6" s="231">
        <v>150</v>
      </c>
      <c r="F6" s="293"/>
      <c r="G6" s="221" t="s">
        <v>481</v>
      </c>
    </row>
    <row r="7" spans="1:7" ht="50.15" customHeight="1" x14ac:dyDescent="0.2">
      <c r="A7" s="21">
        <v>6</v>
      </c>
      <c r="B7" s="21" t="s">
        <v>477</v>
      </c>
      <c r="C7" s="21"/>
      <c r="D7" s="65"/>
      <c r="E7" s="229">
        <f>ROUND(E9*E8^E10,1)</f>
        <v>48.4</v>
      </c>
      <c r="F7" s="294" t="str">
        <f>"="&amp;B9&amp;"×"&amp;B8&amp;"^"&amp;B10</f>
        <v>=変数値Ａ×純調査費^変数値ｂ</v>
      </c>
      <c r="G7" s="221" t="s">
        <v>491</v>
      </c>
    </row>
    <row r="8" spans="1:7" ht="50.15" customHeight="1" x14ac:dyDescent="0.2">
      <c r="A8" s="21">
        <v>7</v>
      </c>
      <c r="B8" s="21" t="s">
        <v>17</v>
      </c>
      <c r="C8" s="21"/>
      <c r="D8" s="65"/>
      <c r="E8" s="229">
        <f>ウ_【効果捕獲】_6P!H15</f>
        <v>6576372</v>
      </c>
      <c r="F8" s="295"/>
      <c r="G8" s="221"/>
    </row>
    <row r="9" spans="1:7" ht="50.15" customHeight="1" x14ac:dyDescent="0.2">
      <c r="A9" s="21">
        <v>7</v>
      </c>
      <c r="B9" s="21" t="s">
        <v>32</v>
      </c>
      <c r="C9" s="21"/>
      <c r="D9" s="65"/>
      <c r="E9" s="229">
        <v>285.3</v>
      </c>
      <c r="F9" s="296"/>
      <c r="G9" s="221" t="s">
        <v>491</v>
      </c>
    </row>
    <row r="10" spans="1:7" ht="50.15" customHeight="1" x14ac:dyDescent="0.2">
      <c r="A10" s="21">
        <v>8</v>
      </c>
      <c r="B10" s="21" t="s">
        <v>33</v>
      </c>
      <c r="C10" s="21"/>
      <c r="D10" s="65"/>
      <c r="E10" s="234">
        <v>-0.113</v>
      </c>
      <c r="F10" s="297"/>
      <c r="G10" s="221" t="s">
        <v>491</v>
      </c>
    </row>
    <row r="11" spans="1:7" ht="50.15" customHeight="1" x14ac:dyDescent="0.2">
      <c r="A11" s="21">
        <v>9</v>
      </c>
      <c r="B11" s="21" t="s">
        <v>18</v>
      </c>
      <c r="C11" s="21"/>
      <c r="D11" s="65"/>
      <c r="E11" s="229">
        <f>E8*(E7/100)</f>
        <v>3182964.048</v>
      </c>
      <c r="F11" s="295"/>
      <c r="G11" s="221"/>
    </row>
    <row r="12" spans="1:7" ht="50.15" customHeight="1" x14ac:dyDescent="0.2">
      <c r="A12" s="21">
        <v>10</v>
      </c>
      <c r="B12" s="21" t="s">
        <v>482</v>
      </c>
      <c r="C12" s="21" t="s">
        <v>484</v>
      </c>
      <c r="D12" s="65"/>
      <c r="E12" s="229">
        <v>527</v>
      </c>
      <c r="F12" s="21"/>
      <c r="G12" s="221" t="s">
        <v>485</v>
      </c>
    </row>
    <row r="13" spans="1:7" ht="50.15" customHeight="1" x14ac:dyDescent="0.2">
      <c r="A13" s="21">
        <v>11</v>
      </c>
      <c r="B13" s="21" t="s">
        <v>494</v>
      </c>
      <c r="C13" s="21" t="s">
        <v>495</v>
      </c>
      <c r="D13" s="65"/>
      <c r="E13" s="229">
        <v>10</v>
      </c>
      <c r="F13" s="21"/>
      <c r="G13" s="221" t="s">
        <v>493</v>
      </c>
    </row>
    <row r="14" spans="1:7" ht="50.15" customHeight="1" x14ac:dyDescent="0.2">
      <c r="A14" s="21">
        <v>12</v>
      </c>
      <c r="B14" s="21" t="s">
        <v>500</v>
      </c>
      <c r="C14" s="21" t="s">
        <v>502</v>
      </c>
      <c r="D14" s="65" t="s">
        <v>504</v>
      </c>
      <c r="E14" s="229">
        <f>(220+2220+2880)*2</f>
        <v>10640</v>
      </c>
      <c r="F14" s="21"/>
      <c r="G14" s="221" t="s">
        <v>522</v>
      </c>
    </row>
    <row r="15" spans="1:7" ht="50.15" customHeight="1" x14ac:dyDescent="0.2">
      <c r="A15" s="21">
        <v>13</v>
      </c>
      <c r="B15" s="21" t="s">
        <v>500</v>
      </c>
      <c r="C15" s="21" t="s">
        <v>502</v>
      </c>
      <c r="D15" s="65" t="s">
        <v>504</v>
      </c>
      <c r="E15" s="229">
        <f>(220+1980+1930)*2</f>
        <v>8260</v>
      </c>
      <c r="F15" s="21"/>
      <c r="G15" s="221" t="s">
        <v>521</v>
      </c>
    </row>
    <row r="16" spans="1:7" ht="50.15" customHeight="1" x14ac:dyDescent="0.2">
      <c r="A16" s="21">
        <v>14</v>
      </c>
      <c r="B16" s="21" t="s">
        <v>500</v>
      </c>
      <c r="C16" s="21" t="s">
        <v>502</v>
      </c>
      <c r="D16" s="65" t="s">
        <v>504</v>
      </c>
      <c r="E16" s="229">
        <f>(220+1520)*2</f>
        <v>3480</v>
      </c>
      <c r="F16" s="21"/>
      <c r="G16" s="221" t="s">
        <v>508</v>
      </c>
    </row>
    <row r="17" spans="1:13" ht="50.15" customHeight="1" x14ac:dyDescent="0.2">
      <c r="A17" s="21">
        <v>15</v>
      </c>
      <c r="B17" s="21" t="s">
        <v>500</v>
      </c>
      <c r="C17" s="21" t="s">
        <v>502</v>
      </c>
      <c r="D17" s="65" t="s">
        <v>504</v>
      </c>
      <c r="E17" s="229">
        <f>(220+510)*2</f>
        <v>1460</v>
      </c>
      <c r="F17" s="21"/>
      <c r="G17" s="221" t="s">
        <v>509</v>
      </c>
    </row>
    <row r="18" spans="1:13" ht="50.15" customHeight="1" x14ac:dyDescent="0.2">
      <c r="A18" s="21">
        <v>16</v>
      </c>
      <c r="B18" s="21" t="s">
        <v>500</v>
      </c>
      <c r="C18" s="21" t="s">
        <v>502</v>
      </c>
      <c r="D18" s="65" t="s">
        <v>504</v>
      </c>
      <c r="E18" s="229">
        <f>(220+1690+1930+350)*2</f>
        <v>8380</v>
      </c>
      <c r="F18" s="21"/>
      <c r="G18" s="221" t="s">
        <v>510</v>
      </c>
      <c r="M18" s="146"/>
    </row>
    <row r="19" spans="1:13" ht="50.15" customHeight="1" x14ac:dyDescent="0.2">
      <c r="A19" s="21">
        <v>17</v>
      </c>
      <c r="B19" s="21" t="s">
        <v>513</v>
      </c>
      <c r="C19" s="21" t="s">
        <v>495</v>
      </c>
      <c r="D19" s="65"/>
      <c r="E19" s="229">
        <v>15</v>
      </c>
      <c r="F19" s="21"/>
      <c r="G19" s="221" t="s">
        <v>514</v>
      </c>
      <c r="M19" s="146"/>
    </row>
    <row r="20" spans="1:13" ht="50.15" customHeight="1" x14ac:dyDescent="0.2">
      <c r="A20" s="21">
        <v>18</v>
      </c>
      <c r="B20" s="21" t="s">
        <v>518</v>
      </c>
      <c r="C20" s="21" t="s">
        <v>502</v>
      </c>
      <c r="D20" s="65"/>
      <c r="E20" s="229">
        <v>2790</v>
      </c>
      <c r="F20" s="21"/>
      <c r="G20" s="221" t="s">
        <v>519</v>
      </c>
      <c r="M20" s="146"/>
    </row>
    <row r="21" spans="1:13" x14ac:dyDescent="0.2">
      <c r="E21"/>
    </row>
    <row r="22" spans="1:13" x14ac:dyDescent="0.2">
      <c r="E22"/>
    </row>
    <row r="23" spans="1:13" x14ac:dyDescent="0.2">
      <c r="E23"/>
    </row>
    <row r="24" spans="1:13" x14ac:dyDescent="0.2">
      <c r="E24"/>
    </row>
    <row r="25" spans="1:13" x14ac:dyDescent="0.2">
      <c r="E25"/>
    </row>
    <row r="26" spans="1:13" x14ac:dyDescent="0.2">
      <c r="E26"/>
    </row>
  </sheetData>
  <phoneticPr fontId="7"/>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005B-0EFC-4BA8-AC46-F095C9767ED5}">
  <sheetPr>
    <tabColor rgb="FF7030A0"/>
    <pageSetUpPr fitToPage="1"/>
  </sheetPr>
  <dimension ref="B1:Q61"/>
  <sheetViews>
    <sheetView workbookViewId="0"/>
  </sheetViews>
  <sheetFormatPr defaultColWidth="9" defaultRowHeight="13" x14ac:dyDescent="0.2"/>
  <cols>
    <col min="1" max="1" width="1.6328125" style="13" customWidth="1"/>
    <col min="2" max="3" width="17.08984375" style="13" customWidth="1"/>
    <col min="4" max="4" width="20.08984375" style="13" customWidth="1"/>
    <col min="5" max="5" width="15.08984375" style="13" bestFit="1" customWidth="1"/>
    <col min="6" max="6" width="11.6328125" style="14" customWidth="1"/>
    <col min="7" max="7" width="9.26953125" style="13" bestFit="1" customWidth="1"/>
    <col min="8" max="8" width="28.6328125" style="15" customWidth="1"/>
    <col min="9" max="9" width="12.08984375" style="14" bestFit="1" customWidth="1"/>
    <col min="10" max="10" width="60.6328125" style="13" customWidth="1"/>
    <col min="11" max="12" width="1.90625" style="13" customWidth="1"/>
    <col min="13" max="13" width="15.90625" style="13" bestFit="1" customWidth="1"/>
    <col min="14" max="14" width="15.08984375" style="13" bestFit="1" customWidth="1"/>
    <col min="15" max="15" width="12.453125" style="13" customWidth="1"/>
    <col min="16" max="16" width="11.90625" style="13" customWidth="1"/>
    <col min="17" max="17" width="14" style="13" customWidth="1"/>
    <col min="18" max="16384" width="9" style="13"/>
  </cols>
  <sheetData>
    <row r="1" spans="2:16" s="1" customFormat="1" ht="21.75" customHeight="1" x14ac:dyDescent="0.2">
      <c r="B1" s="28" t="s">
        <v>438</v>
      </c>
      <c r="C1" s="28"/>
      <c r="F1" s="2"/>
      <c r="H1" s="13"/>
      <c r="I1" s="2"/>
      <c r="O1" s="15"/>
      <c r="P1" s="15"/>
    </row>
    <row r="2" spans="2:16" ht="19.5" customHeight="1" x14ac:dyDescent="0.2">
      <c r="B2" s="476" t="s">
        <v>531</v>
      </c>
      <c r="C2" s="382"/>
      <c r="D2" s="382"/>
      <c r="E2" s="382"/>
      <c r="F2" s="382"/>
      <c r="G2" s="382"/>
      <c r="H2" s="382"/>
      <c r="I2" s="382"/>
      <c r="J2" s="477"/>
    </row>
    <row r="3" spans="2:16" ht="6.75" customHeight="1" thickBot="1" x14ac:dyDescent="0.25">
      <c r="J3" s="16"/>
    </row>
    <row r="4" spans="2:16" s="15" customFormat="1" ht="18" customHeight="1" x14ac:dyDescent="0.2">
      <c r="B4" s="17" t="s">
        <v>0</v>
      </c>
      <c r="C4" s="337"/>
      <c r="D4" s="18" t="s">
        <v>36</v>
      </c>
      <c r="E4" s="18" t="s">
        <v>1</v>
      </c>
      <c r="F4" s="19" t="s">
        <v>2</v>
      </c>
      <c r="G4" s="18" t="s">
        <v>3</v>
      </c>
      <c r="H4" s="18" t="s">
        <v>4</v>
      </c>
      <c r="I4" s="19" t="s">
        <v>5</v>
      </c>
      <c r="J4" s="20" t="s">
        <v>6</v>
      </c>
    </row>
    <row r="5" spans="2:16" ht="30" customHeight="1" x14ac:dyDescent="0.2">
      <c r="B5" s="486" t="s">
        <v>439</v>
      </c>
      <c r="C5" s="474" t="s">
        <v>492</v>
      </c>
      <c r="D5" s="395" t="s">
        <v>440</v>
      </c>
      <c r="E5" s="44" t="s">
        <v>73</v>
      </c>
      <c r="F5" s="22">
        <f>単価!E3</f>
        <v>45300</v>
      </c>
      <c r="G5" s="326">
        <v>7</v>
      </c>
      <c r="H5" s="23" t="s">
        <v>11</v>
      </c>
      <c r="I5" s="22">
        <f>+F5*G5</f>
        <v>317100</v>
      </c>
      <c r="J5" s="479"/>
    </row>
    <row r="6" spans="2:16" ht="30" customHeight="1" x14ac:dyDescent="0.2">
      <c r="B6" s="487"/>
      <c r="C6" s="478"/>
      <c r="D6" s="396"/>
      <c r="E6" s="44" t="s">
        <v>9</v>
      </c>
      <c r="F6" s="22">
        <f>単価!E4</f>
        <v>35600</v>
      </c>
      <c r="G6" s="326">
        <v>7</v>
      </c>
      <c r="H6" s="23" t="s">
        <v>11</v>
      </c>
      <c r="I6" s="22">
        <f t="shared" ref="I6:I11" si="0">+F6*G6</f>
        <v>249200</v>
      </c>
      <c r="J6" s="480"/>
    </row>
    <row r="7" spans="2:16" ht="30" customHeight="1" x14ac:dyDescent="0.2">
      <c r="B7" s="487"/>
      <c r="C7" s="478"/>
      <c r="D7" s="396"/>
      <c r="E7" s="44" t="s">
        <v>7</v>
      </c>
      <c r="F7" s="22">
        <f>単価!E5</f>
        <v>31600</v>
      </c>
      <c r="G7" s="326">
        <v>26.5</v>
      </c>
      <c r="H7" s="23" t="s">
        <v>11</v>
      </c>
      <c r="I7" s="22">
        <f t="shared" si="0"/>
        <v>837400</v>
      </c>
      <c r="J7" s="480"/>
    </row>
    <row r="8" spans="2:16" ht="30" customHeight="1" x14ac:dyDescent="0.2">
      <c r="B8" s="487"/>
      <c r="C8" s="478"/>
      <c r="D8" s="395" t="s">
        <v>74</v>
      </c>
      <c r="E8" s="44" t="s">
        <v>8</v>
      </c>
      <c r="F8" s="22">
        <f>単価!E2</f>
        <v>55200</v>
      </c>
      <c r="G8" s="326">
        <v>1</v>
      </c>
      <c r="H8" s="23" t="s">
        <v>11</v>
      </c>
      <c r="I8" s="22">
        <f t="shared" si="0"/>
        <v>55200</v>
      </c>
      <c r="J8" s="479"/>
      <c r="M8" s="24"/>
      <c r="N8" s="14"/>
      <c r="O8" s="14"/>
    </row>
    <row r="9" spans="2:16" ht="30" customHeight="1" x14ac:dyDescent="0.2">
      <c r="B9" s="487"/>
      <c r="C9" s="478"/>
      <c r="D9" s="396"/>
      <c r="E9" s="44" t="s">
        <v>195</v>
      </c>
      <c r="F9" s="22">
        <f>単価!E3</f>
        <v>45300</v>
      </c>
      <c r="G9" s="326">
        <v>2</v>
      </c>
      <c r="H9" s="23" t="s">
        <v>11</v>
      </c>
      <c r="I9" s="22">
        <f t="shared" si="0"/>
        <v>90600</v>
      </c>
      <c r="J9" s="480"/>
      <c r="M9" s="24"/>
      <c r="N9" s="24"/>
    </row>
    <row r="10" spans="2:16" ht="30" customHeight="1" x14ac:dyDescent="0.2">
      <c r="B10" s="487"/>
      <c r="C10" s="478"/>
      <c r="D10" s="396"/>
      <c r="E10" s="44" t="s">
        <v>9</v>
      </c>
      <c r="F10" s="22">
        <f>単価!E4</f>
        <v>35600</v>
      </c>
      <c r="G10" s="326">
        <v>2</v>
      </c>
      <c r="H10" s="23" t="s">
        <v>11</v>
      </c>
      <c r="I10" s="22">
        <f t="shared" si="0"/>
        <v>71200</v>
      </c>
      <c r="J10" s="480"/>
      <c r="M10" s="24"/>
      <c r="N10" s="24"/>
    </row>
    <row r="11" spans="2:16" ht="30" customHeight="1" x14ac:dyDescent="0.2">
      <c r="B11" s="487"/>
      <c r="C11" s="475"/>
      <c r="D11" s="481"/>
      <c r="E11" s="44" t="s">
        <v>7</v>
      </c>
      <c r="F11" s="22">
        <f>単価!E5</f>
        <v>31600</v>
      </c>
      <c r="G11" s="326">
        <v>2</v>
      </c>
      <c r="H11" s="23" t="s">
        <v>11</v>
      </c>
      <c r="I11" s="22">
        <f t="shared" si="0"/>
        <v>63200</v>
      </c>
      <c r="J11" s="482"/>
      <c r="N11" s="338"/>
    </row>
    <row r="12" spans="2:16" ht="23.25" customHeight="1" x14ac:dyDescent="0.2">
      <c r="B12" s="487"/>
      <c r="C12" s="483" t="s">
        <v>10</v>
      </c>
      <c r="D12" s="484"/>
      <c r="E12" s="484"/>
      <c r="F12" s="485"/>
      <c r="G12" s="326">
        <f>SUM(G5:G11)</f>
        <v>47.5</v>
      </c>
      <c r="H12" s="23" t="s">
        <v>11</v>
      </c>
      <c r="I12" s="22">
        <f>SUM(I5:I11)</f>
        <v>1683900</v>
      </c>
      <c r="J12" s="111"/>
      <c r="M12" s="24"/>
      <c r="N12" s="14"/>
    </row>
    <row r="13" spans="2:16" ht="30" customHeight="1" x14ac:dyDescent="0.2">
      <c r="B13" s="487"/>
      <c r="C13" s="21" t="s">
        <v>441</v>
      </c>
      <c r="D13" s="53" t="s">
        <v>442</v>
      </c>
      <c r="E13" s="21" t="s">
        <v>443</v>
      </c>
      <c r="F13" s="22"/>
      <c r="G13" s="327">
        <v>1</v>
      </c>
      <c r="H13" s="23" t="s">
        <v>66</v>
      </c>
      <c r="I13" s="22">
        <f>ROUNDDOWN(I12*0.016,0)</f>
        <v>26942</v>
      </c>
      <c r="J13" s="356" t="s">
        <v>533</v>
      </c>
      <c r="M13" s="467" t="s">
        <v>444</v>
      </c>
      <c r="N13" s="468"/>
    </row>
    <row r="14" spans="2:16" ht="30" customHeight="1" x14ac:dyDescent="0.2">
      <c r="B14" s="487"/>
      <c r="C14" s="90" t="s">
        <v>445</v>
      </c>
      <c r="D14" s="91" t="s">
        <v>74</v>
      </c>
      <c r="E14" s="21" t="s">
        <v>99</v>
      </c>
      <c r="F14" s="22"/>
      <c r="G14" s="327">
        <v>1</v>
      </c>
      <c r="H14" s="23" t="s">
        <v>66</v>
      </c>
      <c r="I14" s="22">
        <f>ROUNDDOWN(4.7*(ROUNDDOWN(SUM(I12:I13),-3)/1000)^0.38*1000,-3)</f>
        <v>79000</v>
      </c>
      <c r="J14" s="357" t="s">
        <v>532</v>
      </c>
      <c r="M14" s="44" t="s">
        <v>8</v>
      </c>
      <c r="N14" s="44">
        <v>51200</v>
      </c>
    </row>
    <row r="15" spans="2:16" ht="30" customHeight="1" x14ac:dyDescent="0.2">
      <c r="B15" s="487"/>
      <c r="C15" s="469" t="s">
        <v>10</v>
      </c>
      <c r="D15" s="470"/>
      <c r="E15" s="470"/>
      <c r="F15" s="471"/>
      <c r="G15" s="327">
        <v>1</v>
      </c>
      <c r="H15" s="23" t="s">
        <v>528</v>
      </c>
      <c r="I15" s="14">
        <f>SUM(I13:I14)</f>
        <v>105942</v>
      </c>
      <c r="J15" s="358">
        <f>I14</f>
        <v>79000</v>
      </c>
      <c r="M15" s="44" t="s">
        <v>73</v>
      </c>
      <c r="N15" s="44">
        <v>41600</v>
      </c>
    </row>
    <row r="16" spans="2:16" ht="30" customHeight="1" x14ac:dyDescent="0.2">
      <c r="B16" s="488"/>
      <c r="C16" s="483" t="s">
        <v>529</v>
      </c>
      <c r="D16" s="484"/>
      <c r="E16" s="484"/>
      <c r="F16" s="484"/>
      <c r="G16" s="484"/>
      <c r="H16" s="485"/>
      <c r="I16" s="22">
        <f>SUM(I12,I15)</f>
        <v>1789842</v>
      </c>
      <c r="J16" s="328"/>
      <c r="M16" s="44" t="s">
        <v>9</v>
      </c>
      <c r="N16" s="44">
        <v>32800</v>
      </c>
    </row>
    <row r="17" spans="2:17" ht="30" customHeight="1" thickBot="1" x14ac:dyDescent="0.25">
      <c r="B17" s="323" t="s">
        <v>446</v>
      </c>
      <c r="C17" s="324" t="s">
        <v>447</v>
      </c>
      <c r="D17" s="325" t="s">
        <v>440</v>
      </c>
      <c r="E17" s="47" t="s">
        <v>137</v>
      </c>
      <c r="F17" s="218"/>
      <c r="G17" s="329">
        <v>1</v>
      </c>
      <c r="H17" s="219" t="s">
        <v>66</v>
      </c>
      <c r="I17" s="218">
        <f>I12*0.302</f>
        <v>508537.8</v>
      </c>
      <c r="J17" s="359" t="s">
        <v>534</v>
      </c>
      <c r="M17" s="21" t="s">
        <v>7</v>
      </c>
      <c r="N17" s="292">
        <v>29000</v>
      </c>
    </row>
    <row r="18" spans="2:17" ht="30" customHeight="1" x14ac:dyDescent="0.2">
      <c r="B18" s="335" t="s">
        <v>448</v>
      </c>
      <c r="C18" s="336"/>
      <c r="D18" s="336"/>
      <c r="E18" s="336"/>
      <c r="F18" s="336"/>
      <c r="G18" s="336"/>
      <c r="H18" s="337"/>
      <c r="I18" s="45">
        <f>I16+I17</f>
        <v>2298379.7999999998</v>
      </c>
      <c r="J18" s="112"/>
      <c r="M18" s="24"/>
      <c r="N18" s="14"/>
    </row>
    <row r="19" spans="2:17" ht="30" customHeight="1" x14ac:dyDescent="0.2">
      <c r="B19" s="332" t="s">
        <v>12</v>
      </c>
      <c r="C19" s="240"/>
      <c r="D19" s="240"/>
      <c r="E19" s="240"/>
      <c r="F19" s="240"/>
      <c r="G19" s="240"/>
      <c r="H19" s="105"/>
      <c r="I19" s="22">
        <f>ROUNDDOWN(F56,-3)-250000+20000-180000</f>
        <v>739000</v>
      </c>
      <c r="J19" s="46" t="s">
        <v>449</v>
      </c>
      <c r="M19" s="15"/>
      <c r="N19" s="48"/>
    </row>
    <row r="20" spans="2:17" ht="30" customHeight="1" x14ac:dyDescent="0.2">
      <c r="B20" s="332" t="s">
        <v>24</v>
      </c>
      <c r="C20" s="240"/>
      <c r="D20" s="240"/>
      <c r="E20" s="240"/>
      <c r="F20" s="240"/>
      <c r="G20" s="240"/>
      <c r="H20" s="105"/>
      <c r="I20" s="299">
        <f>ROUNDDOWN(I18+I19,-4)</f>
        <v>3030000</v>
      </c>
      <c r="J20" s="46" t="s">
        <v>132</v>
      </c>
      <c r="M20" s="287"/>
      <c r="N20" s="339"/>
      <c r="O20" s="340"/>
      <c r="P20" s="15"/>
      <c r="Q20" s="15"/>
    </row>
    <row r="21" spans="2:17" ht="30" customHeight="1" x14ac:dyDescent="0.2">
      <c r="B21" s="332" t="s">
        <v>13</v>
      </c>
      <c r="C21" s="240"/>
      <c r="D21" s="240"/>
      <c r="E21" s="240"/>
      <c r="F21" s="240"/>
      <c r="G21" s="240"/>
      <c r="H21" s="105"/>
      <c r="I21" s="299">
        <f>ROUNDDOWN((I20*0.1),1)</f>
        <v>303000</v>
      </c>
      <c r="J21" s="249">
        <v>0.1</v>
      </c>
      <c r="M21" s="341"/>
      <c r="N21" s="339"/>
      <c r="O21" s="342"/>
      <c r="P21" s="343"/>
      <c r="Q21" s="24"/>
    </row>
    <row r="22" spans="2:17" ht="25.5" customHeight="1" thickBot="1" x14ac:dyDescent="0.25">
      <c r="B22" s="333" t="s">
        <v>20</v>
      </c>
      <c r="C22" s="334"/>
      <c r="D22" s="334"/>
      <c r="E22" s="334"/>
      <c r="F22" s="334"/>
      <c r="G22" s="334"/>
      <c r="H22" s="247"/>
      <c r="I22" s="218">
        <f>SUM(I20:I21)</f>
        <v>3333000</v>
      </c>
      <c r="J22" s="250"/>
      <c r="O22" s="342"/>
      <c r="P22" s="343"/>
      <c r="Q22" s="338"/>
    </row>
    <row r="23" spans="2:17" ht="10" customHeight="1" x14ac:dyDescent="0.2">
      <c r="B23" s="353" t="str">
        <f>"※"&amp;単価!G2&amp;"参照"</f>
        <v>※P120-「令和５年度設計業務委託等技術者単価」抜粋／土木工事単価資料【土木工事編】【業務委託編】令和４年度（３月改訂版）参照</v>
      </c>
    </row>
    <row r="24" spans="2:17" ht="10" customHeight="1" x14ac:dyDescent="0.2">
      <c r="B24" s="354" t="s">
        <v>450</v>
      </c>
      <c r="C24" s="25"/>
    </row>
    <row r="25" spans="2:17" ht="10" customHeight="1" x14ac:dyDescent="0.2">
      <c r="B25" s="353" t="s">
        <v>451</v>
      </c>
      <c r="M25" s="14"/>
    </row>
    <row r="26" spans="2:17" ht="30" customHeight="1" x14ac:dyDescent="0.2">
      <c r="M26" s="14"/>
    </row>
    <row r="27" spans="2:17" ht="33" customHeight="1" x14ac:dyDescent="0.2">
      <c r="B27" s="1" t="s">
        <v>535</v>
      </c>
      <c r="C27" s="1"/>
      <c r="D27" s="2"/>
      <c r="E27" s="1"/>
      <c r="F27" s="13"/>
      <c r="G27" s="2"/>
      <c r="H27" s="1"/>
      <c r="M27" s="14"/>
    </row>
    <row r="28" spans="2:17" ht="15" customHeight="1" thickBot="1" x14ac:dyDescent="0.25">
      <c r="D28" s="14"/>
      <c r="F28" s="15"/>
      <c r="G28" s="14"/>
      <c r="H28" s="16"/>
      <c r="M28" s="14"/>
    </row>
    <row r="29" spans="2:17" ht="30" customHeight="1" x14ac:dyDescent="0.2">
      <c r="B29" s="17" t="s">
        <v>0</v>
      </c>
      <c r="C29" s="344" t="s">
        <v>1</v>
      </c>
      <c r="D29" s="19" t="s">
        <v>2</v>
      </c>
      <c r="E29" s="18" t="s">
        <v>3</v>
      </c>
      <c r="F29" s="18" t="s">
        <v>4</v>
      </c>
      <c r="G29" s="19" t="s">
        <v>5</v>
      </c>
      <c r="H29" s="20" t="s">
        <v>6</v>
      </c>
      <c r="M29" s="14"/>
    </row>
    <row r="30" spans="2:17" ht="30" customHeight="1" x14ac:dyDescent="0.2">
      <c r="B30" s="331"/>
      <c r="C30" s="345" t="s">
        <v>453</v>
      </c>
      <c r="D30" s="308">
        <v>275</v>
      </c>
      <c r="E30" s="108">
        <v>7</v>
      </c>
      <c r="F30" s="109" t="s">
        <v>66</v>
      </c>
      <c r="G30" s="308">
        <f>D30*E30</f>
        <v>1925</v>
      </c>
      <c r="H30" s="346"/>
      <c r="M30" s="14"/>
    </row>
    <row r="31" spans="2:17" ht="30" customHeight="1" x14ac:dyDescent="0.2">
      <c r="B31" s="276" t="s">
        <v>523</v>
      </c>
      <c r="C31" s="345" t="s">
        <v>454</v>
      </c>
      <c r="D31" s="308">
        <f>2090+1997</f>
        <v>4087</v>
      </c>
      <c r="E31" s="108">
        <v>1</v>
      </c>
      <c r="F31" s="109" t="s">
        <v>66</v>
      </c>
      <c r="G31" s="308">
        <f>D31*E31</f>
        <v>4087</v>
      </c>
      <c r="H31" s="346"/>
      <c r="M31" s="14"/>
    </row>
    <row r="32" spans="2:17" ht="30" customHeight="1" x14ac:dyDescent="0.2">
      <c r="B32" s="276"/>
      <c r="C32" s="345" t="s">
        <v>455</v>
      </c>
      <c r="D32" s="308">
        <v>165</v>
      </c>
      <c r="E32" s="108">
        <v>38</v>
      </c>
      <c r="F32" s="109" t="s">
        <v>21</v>
      </c>
      <c r="G32" s="22">
        <f t="shared" ref="G32:G33" si="1">D32*E32</f>
        <v>6270</v>
      </c>
      <c r="H32" s="346"/>
      <c r="M32" s="14"/>
    </row>
    <row r="33" spans="2:13" ht="30" customHeight="1" x14ac:dyDescent="0.2">
      <c r="B33" s="276"/>
      <c r="C33" s="281" t="s">
        <v>93</v>
      </c>
      <c r="D33" s="22">
        <v>220</v>
      </c>
      <c r="E33" s="21">
        <v>38</v>
      </c>
      <c r="F33" s="23" t="s">
        <v>22</v>
      </c>
      <c r="G33" s="22">
        <f t="shared" si="1"/>
        <v>8360</v>
      </c>
      <c r="H33" s="111"/>
      <c r="M33" s="14"/>
    </row>
    <row r="34" spans="2:13" ht="30" customHeight="1" x14ac:dyDescent="0.2">
      <c r="B34" s="276"/>
      <c r="C34" s="281" t="s">
        <v>456</v>
      </c>
      <c r="D34" s="22">
        <v>700</v>
      </c>
      <c r="E34" s="21">
        <v>9</v>
      </c>
      <c r="F34" s="23" t="s">
        <v>78</v>
      </c>
      <c r="G34" s="22">
        <f>D34*E34</f>
        <v>6300</v>
      </c>
      <c r="H34" s="111"/>
      <c r="M34" s="14"/>
    </row>
    <row r="35" spans="2:13" ht="30" customHeight="1" thickBot="1" x14ac:dyDescent="0.25">
      <c r="B35" s="277"/>
      <c r="C35" s="334" t="s">
        <v>457</v>
      </c>
      <c r="D35" s="218"/>
      <c r="E35" s="47"/>
      <c r="F35" s="219"/>
      <c r="G35" s="218">
        <f>SUM(G30:G34)</f>
        <v>26942</v>
      </c>
      <c r="H35" s="250"/>
      <c r="M35" s="14"/>
    </row>
    <row r="36" spans="2:13" ht="14.25" customHeight="1" x14ac:dyDescent="0.2">
      <c r="B36" s="355" t="s">
        <v>458</v>
      </c>
      <c r="D36" s="14"/>
      <c r="F36" s="15"/>
      <c r="H36" s="13"/>
      <c r="M36" s="14"/>
    </row>
    <row r="37" spans="2:13" ht="30" customHeight="1" x14ac:dyDescent="0.2">
      <c r="D37" s="14"/>
      <c r="F37" s="15"/>
      <c r="H37" s="13"/>
      <c r="M37" s="14"/>
    </row>
    <row r="38" spans="2:13" ht="15" customHeight="1" x14ac:dyDescent="0.2">
      <c r="B38" s="1" t="s">
        <v>536</v>
      </c>
      <c r="C38" s="1"/>
      <c r="D38" s="2"/>
      <c r="E38" s="1"/>
      <c r="F38" s="13"/>
      <c r="G38" s="2"/>
      <c r="H38" s="1"/>
      <c r="M38" s="14"/>
    </row>
    <row r="39" spans="2:13" ht="30" customHeight="1" thickBot="1" x14ac:dyDescent="0.25">
      <c r="D39" s="14"/>
      <c r="F39" s="15"/>
      <c r="G39" s="14"/>
      <c r="H39" s="16"/>
      <c r="M39" s="14"/>
    </row>
    <row r="40" spans="2:13" ht="30" customHeight="1" x14ac:dyDescent="0.2">
      <c r="B40" s="17" t="s">
        <v>0</v>
      </c>
      <c r="C40" s="344" t="s">
        <v>1</v>
      </c>
      <c r="D40" s="19" t="s">
        <v>2</v>
      </c>
      <c r="E40" s="18" t="s">
        <v>3</v>
      </c>
      <c r="F40" s="18" t="s">
        <v>4</v>
      </c>
      <c r="G40" s="19" t="s">
        <v>5</v>
      </c>
      <c r="H40" s="20" t="s">
        <v>6</v>
      </c>
      <c r="M40" s="14"/>
    </row>
    <row r="41" spans="2:13" ht="30" customHeight="1" x14ac:dyDescent="0.2">
      <c r="B41" s="472" t="s">
        <v>447</v>
      </c>
      <c r="C41" s="330" t="s">
        <v>459</v>
      </c>
      <c r="D41" s="299">
        <v>772</v>
      </c>
      <c r="E41" s="300">
        <v>43</v>
      </c>
      <c r="F41" s="91" t="s">
        <v>460</v>
      </c>
      <c r="G41" s="299">
        <f t="shared" ref="G41:G46" si="2">D41*E41</f>
        <v>33196</v>
      </c>
      <c r="H41" s="70"/>
      <c r="M41" s="14"/>
    </row>
    <row r="42" spans="2:13" ht="70" customHeight="1" x14ac:dyDescent="0.2">
      <c r="B42" s="472"/>
      <c r="C42" s="330" t="s">
        <v>85</v>
      </c>
      <c r="D42" s="299">
        <v>6736</v>
      </c>
      <c r="E42" s="300">
        <v>38</v>
      </c>
      <c r="F42" s="91" t="s">
        <v>460</v>
      </c>
      <c r="G42" s="299">
        <f t="shared" si="2"/>
        <v>255968</v>
      </c>
      <c r="H42" s="70"/>
      <c r="M42" s="14"/>
    </row>
    <row r="43" spans="2:13" ht="70" customHeight="1" x14ac:dyDescent="0.2">
      <c r="B43" s="472"/>
      <c r="C43" s="330" t="s">
        <v>461</v>
      </c>
      <c r="D43" s="299">
        <f>3130/1.1</f>
        <v>2845.454545454545</v>
      </c>
      <c r="E43" s="300">
        <v>10</v>
      </c>
      <c r="F43" s="91" t="s">
        <v>22</v>
      </c>
      <c r="G43" s="299">
        <f t="shared" si="2"/>
        <v>28454.545454545449</v>
      </c>
      <c r="H43" s="70" t="s">
        <v>462</v>
      </c>
      <c r="M43" s="14"/>
    </row>
    <row r="44" spans="2:13" ht="80.150000000000006" customHeight="1" x14ac:dyDescent="0.2">
      <c r="B44" s="472"/>
      <c r="C44" s="303" t="s">
        <v>463</v>
      </c>
      <c r="D44" s="299">
        <f>820/1.1</f>
        <v>745.45454545454538</v>
      </c>
      <c r="E44" s="300">
        <v>8</v>
      </c>
      <c r="F44" s="91" t="s">
        <v>22</v>
      </c>
      <c r="G44" s="299">
        <f t="shared" si="2"/>
        <v>5963.6363636363631</v>
      </c>
      <c r="H44" s="70" t="s">
        <v>464</v>
      </c>
      <c r="M44" s="14"/>
    </row>
    <row r="45" spans="2:13" ht="80.150000000000006" customHeight="1" x14ac:dyDescent="0.2">
      <c r="B45" s="472"/>
      <c r="C45" s="474" t="s">
        <v>79</v>
      </c>
      <c r="D45" s="299">
        <f>単価!E6</f>
        <v>150</v>
      </c>
      <c r="E45" s="300">
        <v>36</v>
      </c>
      <c r="F45" s="91" t="s">
        <v>465</v>
      </c>
      <c r="G45" s="299">
        <f t="shared" si="2"/>
        <v>5400</v>
      </c>
      <c r="H45" s="70" t="s">
        <v>466</v>
      </c>
      <c r="M45" s="14"/>
    </row>
    <row r="46" spans="2:13" ht="81" customHeight="1" x14ac:dyDescent="0.2">
      <c r="B46" s="472"/>
      <c r="C46" s="475"/>
      <c r="D46" s="299">
        <f>単価!E6</f>
        <v>150</v>
      </c>
      <c r="E46" s="300">
        <v>133</v>
      </c>
      <c r="F46" s="91" t="s">
        <v>465</v>
      </c>
      <c r="G46" s="299">
        <f t="shared" si="2"/>
        <v>19950</v>
      </c>
      <c r="H46" s="70" t="s">
        <v>540</v>
      </c>
    </row>
    <row r="47" spans="2:13" ht="30" customHeight="1" x14ac:dyDescent="0.2">
      <c r="B47" s="472"/>
      <c r="C47" s="330" t="s">
        <v>467</v>
      </c>
      <c r="D47" s="299">
        <f>195*8+1010+900</f>
        <v>3470</v>
      </c>
      <c r="E47" s="300">
        <v>43</v>
      </c>
      <c r="F47" s="91" t="s">
        <v>76</v>
      </c>
      <c r="G47" s="299">
        <f t="shared" ref="G47:G48" si="3">D47*E47</f>
        <v>149210</v>
      </c>
      <c r="H47" s="70"/>
    </row>
    <row r="48" spans="2:13" ht="30" customHeight="1" x14ac:dyDescent="0.2">
      <c r="B48" s="472"/>
      <c r="C48" s="304" t="s">
        <v>468</v>
      </c>
      <c r="D48" s="301">
        <f>8000+2396</f>
        <v>10396</v>
      </c>
      <c r="E48" s="302">
        <v>1</v>
      </c>
      <c r="F48" s="307" t="s">
        <v>66</v>
      </c>
      <c r="G48" s="301">
        <f t="shared" si="3"/>
        <v>10396</v>
      </c>
      <c r="H48" s="347"/>
    </row>
    <row r="49" spans="2:14" ht="30" customHeight="1" thickBot="1" x14ac:dyDescent="0.25">
      <c r="B49" s="473"/>
      <c r="C49" s="334" t="s">
        <v>457</v>
      </c>
      <c r="D49" s="218"/>
      <c r="E49" s="47"/>
      <c r="F49" s="305"/>
      <c r="G49" s="218">
        <f>SUM(G41:G48)</f>
        <v>508538.18181818182</v>
      </c>
      <c r="H49" s="250"/>
    </row>
    <row r="50" spans="2:14" x14ac:dyDescent="0.2">
      <c r="B50" s="13" t="str">
        <f>"※"&amp;単価!G6&amp;"参照"</f>
        <v>※P20-「ガソリン（委託用）レギュラー／3-1 03)燃料類」抜粋／土木工事単価資料【土木工事編】【業務委託編】令和４年度（３月改訂版）参照</v>
      </c>
    </row>
    <row r="51" spans="2:14" ht="30" customHeight="1" x14ac:dyDescent="0.2">
      <c r="D51" s="13" t="s">
        <v>14</v>
      </c>
      <c r="E51" s="348" t="str">
        <f>IF(I19&lt;E56,"○")</f>
        <v>○</v>
      </c>
    </row>
    <row r="52" spans="2:14" ht="30" customHeight="1" x14ac:dyDescent="0.2">
      <c r="B52" s="16" t="s">
        <v>31</v>
      </c>
      <c r="C52" s="16"/>
      <c r="D52" s="13" t="s">
        <v>15</v>
      </c>
      <c r="E52" s="215">
        <f>ROUND(E54*E53^E55,1)</f>
        <v>54.5</v>
      </c>
      <c r="F52" s="278" t="s">
        <v>452</v>
      </c>
      <c r="G52" s="279">
        <v>50</v>
      </c>
    </row>
    <row r="53" spans="2:14" ht="30" customHeight="1" x14ac:dyDescent="0.2">
      <c r="B53" s="16" t="s">
        <v>16</v>
      </c>
      <c r="C53" s="16"/>
      <c r="D53" s="13" t="s">
        <v>17</v>
      </c>
      <c r="E53" s="348">
        <f>I18</f>
        <v>2298379.7999999998</v>
      </c>
      <c r="F53" s="13"/>
      <c r="N53" s="14"/>
    </row>
    <row r="54" spans="2:14" ht="30" customHeight="1" x14ac:dyDescent="0.2">
      <c r="D54" s="13" t="s">
        <v>32</v>
      </c>
      <c r="E54" s="349">
        <v>285.3</v>
      </c>
      <c r="F54" s="13"/>
    </row>
    <row r="55" spans="2:14" ht="30" customHeight="1" x14ac:dyDescent="0.2">
      <c r="D55" s="13" t="s">
        <v>33</v>
      </c>
      <c r="E55" s="350">
        <v>-0.113</v>
      </c>
      <c r="F55" s="13"/>
    </row>
    <row r="56" spans="2:14" ht="30" customHeight="1" x14ac:dyDescent="0.2">
      <c r="D56" s="13" t="s">
        <v>18</v>
      </c>
      <c r="E56" s="348">
        <f>E53*(E52/100)</f>
        <v>1252616.9909999999</v>
      </c>
      <c r="F56" s="348">
        <f>E53*(G52/100)</f>
        <v>1149189.8999999999</v>
      </c>
    </row>
    <row r="57" spans="2:14" ht="30" customHeight="1" x14ac:dyDescent="0.2">
      <c r="B57" s="14"/>
      <c r="C57" s="14"/>
      <c r="E57" s="349"/>
      <c r="F57" s="13"/>
    </row>
    <row r="58" spans="2:14" ht="30" customHeight="1" x14ac:dyDescent="0.2"/>
    <row r="59" spans="2:14" ht="30" customHeight="1" x14ac:dyDescent="0.2"/>
    <row r="60" spans="2:14" ht="30" customHeight="1" x14ac:dyDescent="0.2"/>
    <row r="61" spans="2:14" ht="30" customHeight="1" x14ac:dyDescent="0.2"/>
  </sheetData>
  <mergeCells count="13">
    <mergeCell ref="M13:N13"/>
    <mergeCell ref="C15:F15"/>
    <mergeCell ref="B41:B49"/>
    <mergeCell ref="C45:C46"/>
    <mergeCell ref="B2:J2"/>
    <mergeCell ref="C5:C11"/>
    <mergeCell ref="D5:D7"/>
    <mergeCell ref="J5:J7"/>
    <mergeCell ref="D8:D11"/>
    <mergeCell ref="J8:J11"/>
    <mergeCell ref="C12:F12"/>
    <mergeCell ref="B5:B16"/>
    <mergeCell ref="C16:H16"/>
  </mergeCells>
  <phoneticPr fontId="7"/>
  <pageMargins left="0.23622047244094491" right="0" top="0.74803149606299213" bottom="0.74803149606299213" header="0.31496062992125984" footer="0.31496062992125984"/>
  <pageSetup paperSize="9" scale="58" fitToWidth="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B1:M46"/>
  <sheetViews>
    <sheetView workbookViewId="0"/>
  </sheetViews>
  <sheetFormatPr defaultColWidth="9" defaultRowHeight="13" x14ac:dyDescent="0.2"/>
  <cols>
    <col min="1" max="1" width="1.6328125" customWidth="1"/>
    <col min="2" max="2" width="12" customWidth="1"/>
    <col min="3" max="3" width="17.36328125" customWidth="1"/>
    <col min="4" max="4" width="22.90625" customWidth="1"/>
    <col min="5" max="5" width="11" style="4" bestFit="1" customWidth="1"/>
    <col min="6" max="6" width="5.90625" customWidth="1"/>
    <col min="7" max="7" width="6.08984375" style="5" customWidth="1"/>
    <col min="8" max="8" width="12.453125" style="4" bestFit="1" customWidth="1"/>
    <col min="9" max="9" width="60.36328125" customWidth="1"/>
    <col min="10" max="10" width="3.36328125" bestFit="1" customWidth="1"/>
    <col min="11" max="11" width="18.36328125" customWidth="1"/>
    <col min="12" max="12" width="10.90625" customWidth="1"/>
    <col min="13" max="13" width="9.90625" bestFit="1" customWidth="1"/>
  </cols>
  <sheetData>
    <row r="1" spans="2:12" s="1" customFormat="1" ht="25.5" customHeight="1" x14ac:dyDescent="0.2">
      <c r="B1" s="260" t="s">
        <v>72</v>
      </c>
      <c r="E1" s="2"/>
      <c r="G1" s="13"/>
      <c r="H1" s="2"/>
    </row>
    <row r="2" spans="2:12" ht="13.5" thickBot="1" x14ac:dyDescent="0.25">
      <c r="I2" s="9"/>
    </row>
    <row r="3" spans="2:12" s="5" customFormat="1" ht="23.25" customHeight="1" thickBot="1" x14ac:dyDescent="0.25">
      <c r="B3" s="261" t="s">
        <v>0</v>
      </c>
      <c r="C3" s="262" t="s">
        <v>36</v>
      </c>
      <c r="D3" s="262" t="s">
        <v>1</v>
      </c>
      <c r="E3" s="263" t="s">
        <v>2</v>
      </c>
      <c r="F3" s="262" t="s">
        <v>3</v>
      </c>
      <c r="G3" s="262" t="s">
        <v>4</v>
      </c>
      <c r="H3" s="263" t="s">
        <v>5</v>
      </c>
      <c r="I3" s="264" t="s">
        <v>6</v>
      </c>
    </row>
    <row r="4" spans="2:12" s="5" customFormat="1" ht="30" customHeight="1" x14ac:dyDescent="0.2">
      <c r="B4" s="507" t="s">
        <v>492</v>
      </c>
      <c r="C4" s="509" t="s">
        <v>83</v>
      </c>
      <c r="D4" s="119" t="s">
        <v>8</v>
      </c>
      <c r="E4" s="118">
        <f>単価!E2</f>
        <v>55200</v>
      </c>
      <c r="F4" s="314">
        <v>2</v>
      </c>
      <c r="G4" s="117" t="s">
        <v>11</v>
      </c>
      <c r="H4" s="309">
        <f t="shared" ref="H4:H13" si="0">+E4*F4</f>
        <v>110400</v>
      </c>
      <c r="I4" s="510" t="s">
        <v>176</v>
      </c>
      <c r="K4" s="265">
        <f>ROUNDDOWN(SUM(H4:H15),-3)</f>
        <v>2490000</v>
      </c>
    </row>
    <row r="5" spans="2:12" s="5" customFormat="1" ht="30" customHeight="1" x14ac:dyDescent="0.2">
      <c r="B5" s="488"/>
      <c r="C5" s="475"/>
      <c r="D5" s="21" t="s">
        <v>9</v>
      </c>
      <c r="E5" s="22">
        <f>単価!E4</f>
        <v>35600</v>
      </c>
      <c r="F5" s="300">
        <v>1</v>
      </c>
      <c r="G5" s="23" t="s">
        <v>11</v>
      </c>
      <c r="H5" s="299">
        <f t="shared" si="0"/>
        <v>35600</v>
      </c>
      <c r="I5" s="482"/>
      <c r="K5" s="265"/>
    </row>
    <row r="6" spans="2:12" s="5" customFormat="1" ht="30" customHeight="1" x14ac:dyDescent="0.2">
      <c r="B6" s="488"/>
      <c r="C6" s="397" t="s">
        <v>81</v>
      </c>
      <c r="D6" s="21" t="s">
        <v>8</v>
      </c>
      <c r="E6" s="22">
        <f>単価!E2</f>
        <v>55200</v>
      </c>
      <c r="F6" s="300">
        <v>2</v>
      </c>
      <c r="G6" s="23" t="s">
        <v>11</v>
      </c>
      <c r="H6" s="299">
        <f>+E6*F6</f>
        <v>110400</v>
      </c>
      <c r="I6" s="479" t="s">
        <v>537</v>
      </c>
      <c r="K6" s="265"/>
    </row>
    <row r="7" spans="2:12" ht="30" customHeight="1" x14ac:dyDescent="0.2">
      <c r="B7" s="508"/>
      <c r="C7" s="398"/>
      <c r="D7" s="21" t="s">
        <v>73</v>
      </c>
      <c r="E7" s="22">
        <f>単価!E3</f>
        <v>45300</v>
      </c>
      <c r="F7" s="315">
        <v>5</v>
      </c>
      <c r="G7" s="23" t="s">
        <v>11</v>
      </c>
      <c r="H7" s="299">
        <f>+E7*F7</f>
        <v>226500</v>
      </c>
      <c r="I7" s="480"/>
      <c r="K7" s="67" t="s">
        <v>8</v>
      </c>
      <c r="L7" s="78">
        <f>単価!E2</f>
        <v>55200</v>
      </c>
    </row>
    <row r="8" spans="2:12" ht="30" customHeight="1" x14ac:dyDescent="0.2">
      <c r="B8" s="508"/>
      <c r="C8" s="398"/>
      <c r="D8" s="21" t="s">
        <v>9</v>
      </c>
      <c r="E8" s="22">
        <f>単価!E4</f>
        <v>35600</v>
      </c>
      <c r="F8" s="315">
        <v>6</v>
      </c>
      <c r="G8" s="23" t="s">
        <v>11</v>
      </c>
      <c r="H8" s="299">
        <f>+E8*F8</f>
        <v>213600</v>
      </c>
      <c r="I8" s="480"/>
      <c r="K8" s="67" t="s">
        <v>146</v>
      </c>
      <c r="L8" s="78">
        <f>単価!E3</f>
        <v>45300</v>
      </c>
    </row>
    <row r="9" spans="2:12" ht="30" customHeight="1" x14ac:dyDescent="0.2">
      <c r="B9" s="508"/>
      <c r="C9" s="399"/>
      <c r="D9" s="44" t="s">
        <v>7</v>
      </c>
      <c r="E9" s="22">
        <f>単価!E5</f>
        <v>31600</v>
      </c>
      <c r="F9" s="316">
        <v>16</v>
      </c>
      <c r="G9" s="23" t="s">
        <v>11</v>
      </c>
      <c r="H9" s="299">
        <f>+E9*F9</f>
        <v>505600</v>
      </c>
      <c r="I9" s="482"/>
      <c r="K9" s="67" t="s">
        <v>9</v>
      </c>
      <c r="L9" s="78">
        <f>単価!E4</f>
        <v>35600</v>
      </c>
    </row>
    <row r="10" spans="2:12" ht="30" customHeight="1" x14ac:dyDescent="0.2">
      <c r="B10" s="508"/>
      <c r="C10" s="515" t="s">
        <v>107</v>
      </c>
      <c r="D10" s="21" t="s">
        <v>73</v>
      </c>
      <c r="E10" s="22">
        <f>単価!E3</f>
        <v>45300</v>
      </c>
      <c r="F10" s="21">
        <v>5</v>
      </c>
      <c r="G10" s="23" t="s">
        <v>11</v>
      </c>
      <c r="H10" s="299">
        <f>+E10*F10</f>
        <v>226500</v>
      </c>
      <c r="I10" s="513" t="s">
        <v>177</v>
      </c>
      <c r="K10" s="67" t="s">
        <v>7</v>
      </c>
      <c r="L10" s="67">
        <f>単価!E5</f>
        <v>31600</v>
      </c>
    </row>
    <row r="11" spans="2:12" ht="30" customHeight="1" x14ac:dyDescent="0.2">
      <c r="B11" s="508"/>
      <c r="C11" s="516"/>
      <c r="D11" s="44" t="s">
        <v>9</v>
      </c>
      <c r="E11" s="22">
        <f>単価!E4</f>
        <v>35600</v>
      </c>
      <c r="F11" s="21">
        <v>5</v>
      </c>
      <c r="G11" s="23" t="s">
        <v>11</v>
      </c>
      <c r="H11" s="299">
        <f t="shared" si="0"/>
        <v>178000</v>
      </c>
      <c r="I11" s="514"/>
      <c r="K11" s="67" t="s">
        <v>58</v>
      </c>
      <c r="L11" s="67">
        <f>単価!E6</f>
        <v>150</v>
      </c>
    </row>
    <row r="12" spans="2:12" ht="29.25" customHeight="1" x14ac:dyDescent="0.2">
      <c r="B12" s="508"/>
      <c r="C12" s="515" t="s">
        <v>82</v>
      </c>
      <c r="D12" s="21" t="s">
        <v>8</v>
      </c>
      <c r="E12" s="22">
        <f>単価!E2</f>
        <v>55200</v>
      </c>
      <c r="F12" s="316">
        <v>8</v>
      </c>
      <c r="G12" s="23" t="s">
        <v>11</v>
      </c>
      <c r="H12" s="299">
        <f>+E12*F12</f>
        <v>441600</v>
      </c>
      <c r="I12" s="513" t="s">
        <v>182</v>
      </c>
    </row>
    <row r="13" spans="2:12" ht="29.25" customHeight="1" x14ac:dyDescent="0.2">
      <c r="B13" s="508"/>
      <c r="C13" s="515"/>
      <c r="D13" s="21" t="s">
        <v>73</v>
      </c>
      <c r="E13" s="22">
        <f>単価!E3</f>
        <v>45300</v>
      </c>
      <c r="F13" s="316">
        <v>6</v>
      </c>
      <c r="G13" s="23" t="s">
        <v>11</v>
      </c>
      <c r="H13" s="299">
        <f t="shared" si="0"/>
        <v>271800</v>
      </c>
      <c r="I13" s="513"/>
    </row>
    <row r="14" spans="2:12" ht="29.25" customHeight="1" x14ac:dyDescent="0.2">
      <c r="B14" s="508"/>
      <c r="C14" s="515"/>
      <c r="D14" s="108" t="s">
        <v>9</v>
      </c>
      <c r="E14" s="308">
        <f>単価!E4</f>
        <v>35600</v>
      </c>
      <c r="F14" s="317">
        <v>4</v>
      </c>
      <c r="G14" s="109" t="s">
        <v>11</v>
      </c>
      <c r="H14" s="310">
        <f>+E14*F14</f>
        <v>142400</v>
      </c>
      <c r="I14" s="514"/>
    </row>
    <row r="15" spans="2:12" ht="29.25" customHeight="1" x14ac:dyDescent="0.2">
      <c r="B15" s="493" t="s">
        <v>96</v>
      </c>
      <c r="C15" s="397" t="s">
        <v>80</v>
      </c>
      <c r="D15" s="221" t="s">
        <v>89</v>
      </c>
      <c r="E15" s="299">
        <v>356</v>
      </c>
      <c r="F15" s="300">
        <v>80</v>
      </c>
      <c r="G15" s="23" t="s">
        <v>95</v>
      </c>
      <c r="H15" s="299">
        <f>+E15*F15</f>
        <v>28480</v>
      </c>
      <c r="I15" s="266"/>
    </row>
    <row r="16" spans="2:12" s="13" customFormat="1" ht="29.25" customHeight="1" x14ac:dyDescent="0.2">
      <c r="B16" s="494"/>
      <c r="C16" s="398"/>
      <c r="D16" s="21" t="s">
        <v>90</v>
      </c>
      <c r="E16" s="299">
        <v>500</v>
      </c>
      <c r="F16" s="300">
        <v>20</v>
      </c>
      <c r="G16" s="23" t="s">
        <v>22</v>
      </c>
      <c r="H16" s="299">
        <f t="shared" ref="H16" si="1">+E16*F16</f>
        <v>10000</v>
      </c>
      <c r="I16" s="50"/>
      <c r="K16"/>
      <c r="L16"/>
    </row>
    <row r="17" spans="2:13" s="13" customFormat="1" ht="29.25" customHeight="1" x14ac:dyDescent="0.2">
      <c r="B17" s="494"/>
      <c r="C17" s="398"/>
      <c r="D17" s="21" t="s">
        <v>91</v>
      </c>
      <c r="E17" s="299">
        <v>3600</v>
      </c>
      <c r="F17" s="300">
        <v>25</v>
      </c>
      <c r="G17" s="23" t="s">
        <v>95</v>
      </c>
      <c r="H17" s="299">
        <f>+E17*F17</f>
        <v>90000</v>
      </c>
      <c r="I17" s="111" t="s">
        <v>181</v>
      </c>
      <c r="K17"/>
      <c r="L17"/>
    </row>
    <row r="18" spans="2:13" s="13" customFormat="1" ht="29.25" customHeight="1" x14ac:dyDescent="0.2">
      <c r="B18" s="494"/>
      <c r="C18" s="398"/>
      <c r="D18" s="91" t="s">
        <v>92</v>
      </c>
      <c r="E18" s="299">
        <v>180</v>
      </c>
      <c r="F18" s="300">
        <v>1920</v>
      </c>
      <c r="G18" s="23" t="s">
        <v>76</v>
      </c>
      <c r="H18" s="299">
        <f>+E18*F18</f>
        <v>345600</v>
      </c>
      <c r="I18" s="70" t="s">
        <v>178</v>
      </c>
      <c r="K18"/>
      <c r="L18"/>
    </row>
    <row r="19" spans="2:13" s="13" customFormat="1" ht="29.25" customHeight="1" x14ac:dyDescent="0.2">
      <c r="B19" s="494"/>
      <c r="C19" s="398"/>
      <c r="D19" s="21" t="s">
        <v>93</v>
      </c>
      <c r="E19" s="299">
        <v>400</v>
      </c>
      <c r="F19" s="300">
        <v>25</v>
      </c>
      <c r="G19" s="23" t="s">
        <v>87</v>
      </c>
      <c r="H19" s="299">
        <f>+E19*F19</f>
        <v>10000</v>
      </c>
      <c r="I19" s="111" t="s">
        <v>181</v>
      </c>
      <c r="K19" s="14"/>
    </row>
    <row r="20" spans="2:13" s="13" customFormat="1" ht="29.25" customHeight="1" x14ac:dyDescent="0.2">
      <c r="B20" s="494"/>
      <c r="C20" s="399"/>
      <c r="D20" s="21" t="s">
        <v>94</v>
      </c>
      <c r="E20" s="299">
        <v>300</v>
      </c>
      <c r="F20" s="300">
        <v>25</v>
      </c>
      <c r="G20" s="23" t="s">
        <v>88</v>
      </c>
      <c r="H20" s="299">
        <f>+E20*F20</f>
        <v>7500</v>
      </c>
      <c r="I20" s="111" t="s">
        <v>181</v>
      </c>
    </row>
    <row r="21" spans="2:13" ht="29.25" customHeight="1" thickBot="1" x14ac:dyDescent="0.25">
      <c r="B21" s="267" t="s">
        <v>71</v>
      </c>
      <c r="C21" s="268" t="s">
        <v>74</v>
      </c>
      <c r="D21" s="47" t="s">
        <v>99</v>
      </c>
      <c r="E21" s="306">
        <v>1000</v>
      </c>
      <c r="F21" s="47">
        <v>1</v>
      </c>
      <c r="G21" s="219" t="s">
        <v>66</v>
      </c>
      <c r="H21" s="306">
        <f>PRODUCT(E21:F21)</f>
        <v>1000</v>
      </c>
      <c r="I21" s="360" t="str">
        <f>"本来の雑費等単価計算式"&amp;4.7*ROUNDDOWN(SUM(H4:H20),-3)^0.38&amp;"4.7×直接調査費（直接経費除く。千円未満切り捨て）＾0.38
千円未満切り捨て"</f>
        <v>本来の雑費等単価計算式1351.443730219354.7×直接調査費（直接経費除く。千円未満切り捨て）＾0.38
千円未満切り捨て</v>
      </c>
    </row>
    <row r="22" spans="2:13" ht="30" customHeight="1" thickBot="1" x14ac:dyDescent="0.25">
      <c r="B22" s="494" t="s">
        <v>97</v>
      </c>
      <c r="C22" s="495"/>
      <c r="D22" s="495"/>
      <c r="E22" s="495"/>
      <c r="F22" s="495"/>
      <c r="G22" s="496"/>
      <c r="H22" s="311">
        <f>SUM(H4:H21)</f>
        <v>2954980</v>
      </c>
      <c r="I22" s="320"/>
    </row>
    <row r="23" spans="2:13" ht="30" customHeight="1" x14ac:dyDescent="0.2">
      <c r="B23" s="497" t="s">
        <v>100</v>
      </c>
      <c r="C23" s="499" t="s">
        <v>84</v>
      </c>
      <c r="D23" s="269" t="s">
        <v>85</v>
      </c>
      <c r="E23" s="45">
        <v>7200</v>
      </c>
      <c r="F23" s="270">
        <v>8</v>
      </c>
      <c r="G23" s="18" t="s">
        <v>11</v>
      </c>
      <c r="H23" s="312">
        <f>+E23*F23</f>
        <v>57600</v>
      </c>
      <c r="I23" s="271" t="s">
        <v>101</v>
      </c>
      <c r="K23" s="511" t="s">
        <v>38</v>
      </c>
      <c r="L23" s="512"/>
    </row>
    <row r="24" spans="2:13" s="13" customFormat="1" ht="30" customHeight="1" x14ac:dyDescent="0.2">
      <c r="B24" s="487"/>
      <c r="C24" s="398"/>
      <c r="D24" s="21" t="s">
        <v>77</v>
      </c>
      <c r="E24" s="22">
        <f>単価!E20</f>
        <v>2790</v>
      </c>
      <c r="F24" s="21">
        <v>6</v>
      </c>
      <c r="G24" s="23" t="s">
        <v>78</v>
      </c>
      <c r="H24" s="299">
        <f>+E24*F24*2</f>
        <v>33480</v>
      </c>
      <c r="I24" s="50" t="s">
        <v>517</v>
      </c>
      <c r="K24" s="21" t="s">
        <v>128</v>
      </c>
      <c r="L24" s="22">
        <f>SUM(H4:H9)+SUM(H15:H20)+H27</f>
        <v>1946760</v>
      </c>
    </row>
    <row r="25" spans="2:13" s="13" customFormat="1" ht="30" customHeight="1" x14ac:dyDescent="0.2">
      <c r="B25" s="487"/>
      <c r="C25" s="398"/>
      <c r="D25" s="91" t="s">
        <v>79</v>
      </c>
      <c r="E25" s="22">
        <f>単価!E6</f>
        <v>150</v>
      </c>
      <c r="F25" s="21">
        <v>300</v>
      </c>
      <c r="G25" s="23" t="s">
        <v>106</v>
      </c>
      <c r="H25" s="299">
        <f>+E25*F25</f>
        <v>45000</v>
      </c>
      <c r="I25" s="70" t="s">
        <v>179</v>
      </c>
      <c r="K25" s="21" t="s">
        <v>129</v>
      </c>
      <c r="L25" s="22">
        <f>SUM(H10:H11)</f>
        <v>404500</v>
      </c>
    </row>
    <row r="26" spans="2:13" s="13" customFormat="1" ht="30" customHeight="1" thickBot="1" x14ac:dyDescent="0.25">
      <c r="B26" s="498"/>
      <c r="C26" s="500"/>
      <c r="D26" s="47" t="s">
        <v>86</v>
      </c>
      <c r="E26" s="218">
        <v>7800</v>
      </c>
      <c r="F26" s="47">
        <v>15</v>
      </c>
      <c r="G26" s="219" t="s">
        <v>87</v>
      </c>
      <c r="H26" s="306">
        <f>+E26*F26</f>
        <v>117000</v>
      </c>
      <c r="I26" s="250" t="s">
        <v>180</v>
      </c>
      <c r="K26" s="21" t="s">
        <v>130</v>
      </c>
      <c r="L26" s="22">
        <f>SUM(H12:H14)+H21</f>
        <v>856800</v>
      </c>
      <c r="M26" s="14">
        <f>SUM(L24:L27)</f>
        <v>4462060</v>
      </c>
    </row>
    <row r="27" spans="2:13" s="13" customFormat="1" ht="30" customHeight="1" thickBot="1" x14ac:dyDescent="0.25">
      <c r="B27" s="501" t="s">
        <v>98</v>
      </c>
      <c r="C27" s="502"/>
      <c r="D27" s="502"/>
      <c r="E27" s="502"/>
      <c r="F27" s="502"/>
      <c r="G27" s="503"/>
      <c r="H27" s="313">
        <f>SUM(H23:H26)</f>
        <v>253080</v>
      </c>
      <c r="I27" s="272"/>
      <c r="K27" s="21" t="s">
        <v>134</v>
      </c>
      <c r="L27" s="22">
        <f>H29</f>
        <v>1254000</v>
      </c>
    </row>
    <row r="28" spans="2:13" ht="30" customHeight="1" x14ac:dyDescent="0.2">
      <c r="B28" s="504" t="s">
        <v>102</v>
      </c>
      <c r="C28" s="505"/>
      <c r="D28" s="505"/>
      <c r="E28" s="505"/>
      <c r="F28" s="505"/>
      <c r="G28" s="506"/>
      <c r="H28" s="310">
        <f>H22+H27</f>
        <v>3208060</v>
      </c>
      <c r="I28" s="318"/>
      <c r="K28" s="21" t="s">
        <v>135</v>
      </c>
      <c r="L28" s="22">
        <f>H30</f>
        <v>4460000</v>
      </c>
    </row>
    <row r="29" spans="2:13" ht="23.25" customHeight="1" x14ac:dyDescent="0.2">
      <c r="B29" s="489" t="s">
        <v>12</v>
      </c>
      <c r="C29" s="484"/>
      <c r="D29" s="484"/>
      <c r="E29" s="484"/>
      <c r="F29" s="484"/>
      <c r="G29" s="485"/>
      <c r="H29" s="299">
        <f>ROUNDDOWN(H28/2,-3)-250000-100000</f>
        <v>1254000</v>
      </c>
      <c r="I29" s="319" t="s">
        <v>168</v>
      </c>
      <c r="K29" s="21" t="s">
        <v>136</v>
      </c>
      <c r="L29" s="22">
        <f>H31</f>
        <v>446000</v>
      </c>
    </row>
    <row r="30" spans="2:13" ht="23.25" customHeight="1" x14ac:dyDescent="0.2">
      <c r="B30" s="489" t="s">
        <v>24</v>
      </c>
      <c r="C30" s="484"/>
      <c r="D30" s="484"/>
      <c r="E30" s="484"/>
      <c r="F30" s="484"/>
      <c r="G30" s="485"/>
      <c r="H30" s="299">
        <f>ROUNDDOWN(H28+H29,-4)</f>
        <v>4460000</v>
      </c>
      <c r="I30" s="46" t="s">
        <v>132</v>
      </c>
      <c r="K30" s="21" t="s">
        <v>133</v>
      </c>
      <c r="L30" s="22">
        <f>H32</f>
        <v>4906000</v>
      </c>
    </row>
    <row r="31" spans="2:13" ht="23.25" customHeight="1" x14ac:dyDescent="0.2">
      <c r="B31" s="489" t="s">
        <v>13</v>
      </c>
      <c r="C31" s="484"/>
      <c r="D31" s="484"/>
      <c r="E31" s="484"/>
      <c r="F31" s="484"/>
      <c r="G31" s="485"/>
      <c r="H31" s="299">
        <f>H30*0.1</f>
        <v>446000</v>
      </c>
      <c r="I31" s="249"/>
    </row>
    <row r="32" spans="2:13" ht="23.25" customHeight="1" thickBot="1" x14ac:dyDescent="0.25">
      <c r="B32" s="490" t="s">
        <v>20</v>
      </c>
      <c r="C32" s="491"/>
      <c r="D32" s="491"/>
      <c r="E32" s="491"/>
      <c r="F32" s="491"/>
      <c r="G32" s="492"/>
      <c r="H32" s="306">
        <f>H30+H31</f>
        <v>4906000</v>
      </c>
      <c r="I32" s="273"/>
    </row>
    <row r="33" spans="2:8" ht="23.25" customHeight="1" x14ac:dyDescent="0.2">
      <c r="B33" s="238" t="str">
        <f>"※"&amp;単価!G2&amp;"参照"</f>
        <v>※P120-「令和５年度設計業務委託等技術者単価」抜粋／土木工事単価資料【土木工事編】【業務委託編】令和４年度（３月改訂版）参照</v>
      </c>
    </row>
    <row r="34" spans="2:8" x14ac:dyDescent="0.2">
      <c r="B34" s="274"/>
    </row>
    <row r="39" spans="2:8" x14ac:dyDescent="0.2">
      <c r="B39" t="s">
        <v>12</v>
      </c>
    </row>
    <row r="40" spans="2:8" x14ac:dyDescent="0.2">
      <c r="B40" t="s">
        <v>14</v>
      </c>
      <c r="C40" s="6" t="str">
        <f>IF(H29&lt;C45,"○")</f>
        <v>○</v>
      </c>
      <c r="E40"/>
      <c r="G40"/>
      <c r="H40"/>
    </row>
    <row r="41" spans="2:8" x14ac:dyDescent="0.2">
      <c r="B41" t="s">
        <v>15</v>
      </c>
      <c r="C41" s="7">
        <f>ROUND(C43*C42^C44,1)</f>
        <v>52.5</v>
      </c>
      <c r="E41"/>
      <c r="G41"/>
      <c r="H41"/>
    </row>
    <row r="42" spans="2:8" x14ac:dyDescent="0.2">
      <c r="B42" t="s">
        <v>17</v>
      </c>
      <c r="C42" s="6">
        <f>H28</f>
        <v>3208060</v>
      </c>
      <c r="E42"/>
      <c r="G42"/>
      <c r="H42"/>
    </row>
    <row r="43" spans="2:8" x14ac:dyDescent="0.2">
      <c r="B43" t="s">
        <v>32</v>
      </c>
      <c r="C43" s="8">
        <v>285.3</v>
      </c>
      <c r="E43"/>
      <c r="G43"/>
      <c r="H43"/>
    </row>
    <row r="44" spans="2:8" x14ac:dyDescent="0.2">
      <c r="B44" t="s">
        <v>33</v>
      </c>
      <c r="C44" s="275">
        <v>-0.113</v>
      </c>
      <c r="E44"/>
      <c r="G44"/>
      <c r="H44"/>
    </row>
    <row r="45" spans="2:8" x14ac:dyDescent="0.2">
      <c r="B45" t="s">
        <v>18</v>
      </c>
      <c r="C45" s="6">
        <f>C42*(C41/100)</f>
        <v>1684231.5</v>
      </c>
      <c r="E45"/>
      <c r="G45"/>
      <c r="H45"/>
    </row>
    <row r="46" spans="2:8" x14ac:dyDescent="0.2">
      <c r="B46" t="s">
        <v>19</v>
      </c>
      <c r="C46" s="8">
        <f>H29*100/H32</f>
        <v>25.560538116591928</v>
      </c>
      <c r="E46"/>
      <c r="G46"/>
      <c r="H46"/>
    </row>
  </sheetData>
  <mergeCells count="21">
    <mergeCell ref="K23:L23"/>
    <mergeCell ref="I10:I11"/>
    <mergeCell ref="C12:C14"/>
    <mergeCell ref="I12:I14"/>
    <mergeCell ref="C10:C11"/>
    <mergeCell ref="B4:B14"/>
    <mergeCell ref="C4:C5"/>
    <mergeCell ref="C6:C9"/>
    <mergeCell ref="I6:I9"/>
    <mergeCell ref="B29:G29"/>
    <mergeCell ref="I4:I5"/>
    <mergeCell ref="B30:G30"/>
    <mergeCell ref="B31:G31"/>
    <mergeCell ref="B32:G32"/>
    <mergeCell ref="B15:B20"/>
    <mergeCell ref="C15:C20"/>
    <mergeCell ref="B22:G22"/>
    <mergeCell ref="B23:B26"/>
    <mergeCell ref="C23:C26"/>
    <mergeCell ref="B27:G27"/>
    <mergeCell ref="B28:G28"/>
  </mergeCells>
  <phoneticPr fontId="7"/>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2F547-D317-4E50-B699-17B978A62454}">
  <sheetPr>
    <tabColor rgb="FF7030A0"/>
    <pageSetUpPr fitToPage="1"/>
  </sheetPr>
  <dimension ref="B2:M16"/>
  <sheetViews>
    <sheetView workbookViewId="0"/>
  </sheetViews>
  <sheetFormatPr defaultColWidth="9" defaultRowHeight="13" x14ac:dyDescent="0.2"/>
  <cols>
    <col min="1" max="1" width="1.6328125" style="13" customWidth="1"/>
    <col min="2" max="2" width="12.90625" style="13" customWidth="1"/>
    <col min="3" max="3" width="19.90625" style="13" customWidth="1"/>
    <col min="4" max="4" width="9.08984375" style="14" bestFit="1" customWidth="1"/>
    <col min="5" max="5" width="5.90625" style="13" customWidth="1"/>
    <col min="6" max="6" width="6.08984375" style="15" customWidth="1"/>
    <col min="7" max="7" width="10.90625" style="14" customWidth="1"/>
    <col min="8" max="8" width="32.36328125" style="13" customWidth="1"/>
    <col min="9" max="9" width="1.90625" style="13" customWidth="1"/>
    <col min="10" max="10" width="13.36328125" style="13" customWidth="1"/>
    <col min="11" max="16384" width="9" style="13"/>
  </cols>
  <sheetData>
    <row r="2" spans="2:13" s="1" customFormat="1" ht="16.5" x14ac:dyDescent="0.2">
      <c r="B2" s="54" t="s">
        <v>125</v>
      </c>
      <c r="D2" s="2"/>
      <c r="F2" s="3"/>
      <c r="G2" s="2"/>
    </row>
    <row r="3" spans="2:13" s="1" customFormat="1" ht="16.5" x14ac:dyDescent="0.2">
      <c r="B3" s="54"/>
      <c r="D3" s="2"/>
      <c r="F3" s="3"/>
      <c r="G3" s="2"/>
    </row>
    <row r="4" spans="2:13" s="1" customFormat="1" ht="17" thickBot="1" x14ac:dyDescent="0.25">
      <c r="B4" s="25"/>
      <c r="D4" s="2"/>
      <c r="F4" s="3"/>
      <c r="G4" s="2"/>
    </row>
    <row r="5" spans="2:13" x14ac:dyDescent="0.2">
      <c r="B5" s="17" t="s">
        <v>40</v>
      </c>
      <c r="C5" s="18" t="s">
        <v>1</v>
      </c>
      <c r="D5" s="19" t="s">
        <v>2</v>
      </c>
      <c r="E5" s="18" t="s">
        <v>3</v>
      </c>
      <c r="F5" s="18" t="s">
        <v>4</v>
      </c>
      <c r="G5" s="19" t="s">
        <v>5</v>
      </c>
      <c r="H5" s="20" t="s">
        <v>6</v>
      </c>
      <c r="K5" s="25"/>
      <c r="L5" s="25"/>
      <c r="M5" s="25"/>
    </row>
    <row r="6" spans="2:13" ht="69" customHeight="1" x14ac:dyDescent="0.2">
      <c r="B6" s="517" t="s">
        <v>435</v>
      </c>
      <c r="C6" s="69" t="s">
        <v>436</v>
      </c>
      <c r="D6" s="55">
        <f>SUM(単価!E14,単価!E15)</f>
        <v>18900</v>
      </c>
      <c r="E6" s="53">
        <v>1</v>
      </c>
      <c r="F6" s="56" t="s">
        <v>68</v>
      </c>
      <c r="G6" s="55">
        <f>D6*E6</f>
        <v>18900</v>
      </c>
      <c r="H6" s="52" t="str">
        <f>単価!G14&amp;"："&amp;単価!E14&amp;"円、"&amp;単価!G15&amp;"："&amp;単価!E15&amp;"円"</f>
        <v>丸太町～宮津（往復）→宮津市役所：10640円、丸太町～東舞鶴（往復）→舞鶴市役所：8260円</v>
      </c>
    </row>
    <row r="7" spans="2:13" ht="39" customHeight="1" thickBot="1" x14ac:dyDescent="0.25">
      <c r="B7" s="518"/>
      <c r="C7" s="217" t="s">
        <v>469</v>
      </c>
      <c r="D7" s="218">
        <f>'R5交付金事業計画'!C16-ア【計画評価】①事務費_2P!G6</f>
        <v>81100</v>
      </c>
      <c r="E7" s="47">
        <v>1</v>
      </c>
      <c r="F7" s="219" t="s">
        <v>470</v>
      </c>
      <c r="G7" s="218">
        <f>D7*E7</f>
        <v>81100</v>
      </c>
      <c r="H7" s="220"/>
    </row>
    <row r="8" spans="2:13" ht="13.5" thickBot="1" x14ac:dyDescent="0.25">
      <c r="B8" s="57" t="s">
        <v>24</v>
      </c>
      <c r="C8" s="58"/>
      <c r="D8" s="59"/>
      <c r="E8" s="58"/>
      <c r="F8" s="60"/>
      <c r="G8" s="59">
        <f>SUM(G6:G7)</f>
        <v>100000</v>
      </c>
      <c r="H8" s="61"/>
    </row>
    <row r="9" spans="2:13" x14ac:dyDescent="0.2">
      <c r="B9" s="238"/>
    </row>
    <row r="10" spans="2:13" x14ac:dyDescent="0.2">
      <c r="B10" s="15"/>
    </row>
    <row r="11" spans="2:13" x14ac:dyDescent="0.2">
      <c r="B11"/>
      <c r="K11" s="24"/>
    </row>
    <row r="16" spans="2:13" x14ac:dyDescent="0.2">
      <c r="J16" s="14"/>
    </row>
  </sheetData>
  <mergeCells count="1">
    <mergeCell ref="B6:B7"/>
  </mergeCells>
  <phoneticPr fontId="7"/>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2:M16"/>
  <sheetViews>
    <sheetView workbookViewId="0"/>
  </sheetViews>
  <sheetFormatPr defaultColWidth="9" defaultRowHeight="13" x14ac:dyDescent="0.2"/>
  <cols>
    <col min="1" max="1" width="1.6328125" style="13" customWidth="1"/>
    <col min="2" max="2" width="12.90625" style="13" customWidth="1"/>
    <col min="3" max="3" width="19.90625" style="13" customWidth="1"/>
    <col min="4" max="4" width="9.08984375" style="14" bestFit="1" customWidth="1"/>
    <col min="5" max="5" width="5.90625" style="13" customWidth="1"/>
    <col min="6" max="6" width="6.08984375" style="15" customWidth="1"/>
    <col min="7" max="7" width="10.90625" style="14" customWidth="1"/>
    <col min="8" max="8" width="32.36328125" style="13" customWidth="1"/>
    <col min="9" max="9" width="1.90625" style="13" customWidth="1"/>
    <col min="10" max="10" width="13.36328125" style="13" customWidth="1"/>
    <col min="11" max="16384" width="9" style="13"/>
  </cols>
  <sheetData>
    <row r="2" spans="2:13" s="1" customFormat="1" ht="16.5" x14ac:dyDescent="0.2">
      <c r="B2" s="54" t="s">
        <v>125</v>
      </c>
      <c r="D2" s="2"/>
      <c r="F2" s="3"/>
      <c r="G2" s="2"/>
    </row>
    <row r="3" spans="2:13" s="1" customFormat="1" ht="16.5" x14ac:dyDescent="0.2">
      <c r="B3" s="54"/>
      <c r="D3" s="2"/>
      <c r="F3" s="3"/>
      <c r="G3" s="2"/>
    </row>
    <row r="4" spans="2:13" s="1" customFormat="1" ht="17" thickBot="1" x14ac:dyDescent="0.25">
      <c r="B4" s="25"/>
      <c r="D4" s="2"/>
      <c r="F4" s="3"/>
      <c r="G4" s="2"/>
    </row>
    <row r="5" spans="2:13" x14ac:dyDescent="0.2">
      <c r="B5" s="17" t="s">
        <v>40</v>
      </c>
      <c r="C5" s="18" t="s">
        <v>1</v>
      </c>
      <c r="D5" s="19" t="s">
        <v>2</v>
      </c>
      <c r="E5" s="18" t="s">
        <v>3</v>
      </c>
      <c r="F5" s="18" t="s">
        <v>4</v>
      </c>
      <c r="G5" s="19" t="s">
        <v>5</v>
      </c>
      <c r="H5" s="20" t="s">
        <v>6</v>
      </c>
      <c r="K5" s="25"/>
      <c r="L5" s="25"/>
      <c r="M5" s="25"/>
    </row>
    <row r="6" spans="2:13" ht="39" customHeight="1" x14ac:dyDescent="0.2">
      <c r="B6" s="517" t="s">
        <v>103</v>
      </c>
      <c r="C6" s="221" t="s">
        <v>137</v>
      </c>
      <c r="D6" s="22">
        <f>(8360+5610+180)*2</f>
        <v>28300</v>
      </c>
      <c r="E6" s="21">
        <v>1</v>
      </c>
      <c r="F6" s="23" t="s">
        <v>104</v>
      </c>
      <c r="G6" s="22">
        <f>D6*E6</f>
        <v>28300</v>
      </c>
      <c r="H6" s="70" t="s">
        <v>105</v>
      </c>
    </row>
    <row r="7" spans="2:13" ht="39" customHeight="1" thickBot="1" x14ac:dyDescent="0.25">
      <c r="B7" s="518"/>
      <c r="C7" s="211" t="s">
        <v>471</v>
      </c>
      <c r="D7" s="212">
        <f>9700+11000</f>
        <v>20700</v>
      </c>
      <c r="E7" s="213">
        <v>1</v>
      </c>
      <c r="F7" s="214" t="s">
        <v>470</v>
      </c>
      <c r="G7" s="212">
        <f>D7*E7</f>
        <v>20700</v>
      </c>
      <c r="H7" s="106"/>
    </row>
    <row r="8" spans="2:13" ht="13.5" thickBot="1" x14ac:dyDescent="0.25">
      <c r="B8" s="57" t="s">
        <v>24</v>
      </c>
      <c r="C8" s="58"/>
      <c r="D8" s="59"/>
      <c r="E8" s="58"/>
      <c r="F8" s="60"/>
      <c r="G8" s="59">
        <f>SUM(G6:G7)</f>
        <v>49000</v>
      </c>
      <c r="H8" s="61"/>
    </row>
    <row r="9" spans="2:13" x14ac:dyDescent="0.2">
      <c r="B9" s="15"/>
    </row>
    <row r="10" spans="2:13" x14ac:dyDescent="0.2">
      <c r="B10" s="15"/>
    </row>
    <row r="11" spans="2:13" x14ac:dyDescent="0.2">
      <c r="B11"/>
      <c r="K11" s="24"/>
    </row>
    <row r="16" spans="2:13" x14ac:dyDescent="0.2">
      <c r="J16" s="14"/>
    </row>
  </sheetData>
  <mergeCells count="1">
    <mergeCell ref="B6:B7"/>
  </mergeCells>
  <phoneticPr fontId="7"/>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O31"/>
  <sheetViews>
    <sheetView workbookViewId="0"/>
  </sheetViews>
  <sheetFormatPr defaultColWidth="9" defaultRowHeight="13" x14ac:dyDescent="0.2"/>
  <cols>
    <col min="1" max="1" width="1.6328125" style="123" customWidth="1"/>
    <col min="2" max="2" width="12.90625" style="123" customWidth="1"/>
    <col min="3" max="3" width="19.08984375" style="123" customWidth="1"/>
    <col min="4" max="4" width="14.453125" style="123" bestFit="1" customWidth="1"/>
    <col min="5" max="5" width="9.90625" style="125" bestFit="1" customWidth="1"/>
    <col min="6" max="6" width="6" style="123" bestFit="1" customWidth="1"/>
    <col min="7" max="7" width="6.08984375" style="124" customWidth="1"/>
    <col min="8" max="8" width="11.90625" style="125" customWidth="1"/>
    <col min="9" max="9" width="73.26953125" style="123" customWidth="1"/>
    <col min="10" max="10" width="1.90625" style="123" customWidth="1"/>
    <col min="11" max="11" width="12.90625" style="123" customWidth="1"/>
    <col min="12" max="12" width="11.6328125" style="123" customWidth="1"/>
    <col min="13" max="13" width="1.6328125" style="123" customWidth="1"/>
    <col min="14" max="14" width="10.6328125" style="123" bestFit="1" customWidth="1"/>
    <col min="15" max="15" width="11.90625" style="123" customWidth="1"/>
    <col min="16" max="16384" width="9" style="123"/>
  </cols>
  <sheetData>
    <row r="1" spans="2:15" s="126" customFormat="1" ht="25.5" customHeight="1" x14ac:dyDescent="0.2">
      <c r="B1" s="28" t="s">
        <v>192</v>
      </c>
      <c r="C1" s="1"/>
      <c r="D1" s="1"/>
      <c r="E1" s="2"/>
      <c r="F1" s="1"/>
      <c r="G1" s="13"/>
      <c r="H1" s="2"/>
      <c r="I1" s="1"/>
      <c r="N1" s="124"/>
      <c r="O1" s="124"/>
    </row>
    <row r="2" spans="2:15" ht="13.5" thickBot="1" x14ac:dyDescent="0.25">
      <c r="B2"/>
      <c r="C2"/>
      <c r="D2"/>
      <c r="E2" s="4"/>
      <c r="F2"/>
      <c r="G2" s="5"/>
      <c r="H2" s="4"/>
      <c r="I2" s="9"/>
    </row>
    <row r="3" spans="2:15" s="124" customFormat="1" ht="23.25" customHeight="1" x14ac:dyDescent="0.2">
      <c r="B3" s="17" t="s">
        <v>0</v>
      </c>
      <c r="C3" s="18" t="s">
        <v>36</v>
      </c>
      <c r="D3" s="18" t="s">
        <v>1</v>
      </c>
      <c r="E3" s="19" t="s">
        <v>2</v>
      </c>
      <c r="F3" s="18" t="s">
        <v>3</v>
      </c>
      <c r="G3" s="18" t="s">
        <v>4</v>
      </c>
      <c r="H3" s="19" t="s">
        <v>5</v>
      </c>
      <c r="I3" s="20" t="s">
        <v>6</v>
      </c>
      <c r="J3" s="129"/>
      <c r="K3" s="520" t="s">
        <v>193</v>
      </c>
      <c r="L3" s="521"/>
      <c r="M3" s="141"/>
      <c r="N3" s="142"/>
    </row>
    <row r="4" spans="2:15" ht="30.75" customHeight="1" x14ac:dyDescent="0.2">
      <c r="B4" s="239"/>
      <c r="C4" s="104"/>
      <c r="D4" s="104"/>
      <c r="E4" s="103"/>
      <c r="F4" s="104"/>
      <c r="G4" s="240"/>
      <c r="H4" s="103"/>
      <c r="I4" s="241" t="s">
        <v>520</v>
      </c>
      <c r="J4" s="127"/>
      <c r="K4" s="143" t="s">
        <v>8</v>
      </c>
      <c r="L4" s="144">
        <f>単価!E2</f>
        <v>55200</v>
      </c>
      <c r="M4" s="145"/>
      <c r="N4" s="146" t="s">
        <v>26</v>
      </c>
      <c r="O4" s="146"/>
    </row>
    <row r="5" spans="2:15" ht="30.75" customHeight="1" x14ac:dyDescent="0.2">
      <c r="B5" s="94" t="s">
        <v>512</v>
      </c>
      <c r="C5" s="395" t="s">
        <v>23</v>
      </c>
      <c r="D5" s="44" t="s">
        <v>8</v>
      </c>
      <c r="E5" s="22">
        <f>単価!E2</f>
        <v>55200</v>
      </c>
      <c r="F5" s="21">
        <v>1</v>
      </c>
      <c r="G5" s="23" t="s">
        <v>11</v>
      </c>
      <c r="H5" s="22">
        <f t="shared" ref="H5" si="0">+E5*F5</f>
        <v>55200</v>
      </c>
      <c r="I5" s="479" t="s">
        <v>187</v>
      </c>
      <c r="J5" s="127"/>
      <c r="K5" s="143" t="s">
        <v>9</v>
      </c>
      <c r="L5" s="144">
        <f>単価!E4</f>
        <v>35600</v>
      </c>
      <c r="M5" s="145"/>
      <c r="N5" s="146" t="s">
        <v>27</v>
      </c>
      <c r="O5" s="146" t="s">
        <v>60</v>
      </c>
    </row>
    <row r="6" spans="2:15" ht="30.75" customHeight="1" x14ac:dyDescent="0.2">
      <c r="B6" s="95"/>
      <c r="C6" s="481"/>
      <c r="D6" s="44" t="s">
        <v>9</v>
      </c>
      <c r="E6" s="22">
        <f>単価!E4</f>
        <v>35600</v>
      </c>
      <c r="F6" s="21">
        <v>2</v>
      </c>
      <c r="G6" s="23" t="s">
        <v>11</v>
      </c>
      <c r="H6" s="22">
        <f>+E6*F6</f>
        <v>71200</v>
      </c>
      <c r="I6" s="482"/>
      <c r="J6" s="127"/>
      <c r="K6" s="65" t="s">
        <v>7</v>
      </c>
      <c r="L6" s="78">
        <f>単価!E5</f>
        <v>31600</v>
      </c>
      <c r="M6" s="130"/>
    </row>
    <row r="7" spans="2:15" ht="30.75" customHeight="1" x14ac:dyDescent="0.2">
      <c r="B7" s="95"/>
      <c r="C7" s="211" t="s">
        <v>142</v>
      </c>
      <c r="D7" s="44" t="s">
        <v>59</v>
      </c>
      <c r="E7" s="22">
        <f>単価!E5</f>
        <v>31600</v>
      </c>
      <c r="F7" s="21">
        <v>10</v>
      </c>
      <c r="G7" s="23" t="s">
        <v>11</v>
      </c>
      <c r="H7" s="22">
        <f>+E7*F7</f>
        <v>316000</v>
      </c>
      <c r="I7" s="88" t="s">
        <v>189</v>
      </c>
      <c r="J7" s="127"/>
      <c r="K7" s="130"/>
      <c r="L7" s="130"/>
      <c r="M7" s="130"/>
      <c r="N7" s="132">
        <f>SUM(H7:H7)*0.1</f>
        <v>31600</v>
      </c>
    </row>
    <row r="8" spans="2:15" ht="30.75" customHeight="1" x14ac:dyDescent="0.2">
      <c r="B8" s="95"/>
      <c r="C8" s="242"/>
      <c r="D8" s="21" t="s">
        <v>25</v>
      </c>
      <c r="E8" s="22"/>
      <c r="F8" s="21"/>
      <c r="G8" s="23"/>
      <c r="H8" s="22">
        <f>ROUNDDOWN(0.274*H7,0)</f>
        <v>86584</v>
      </c>
      <c r="I8" s="88" t="str">
        <f>"労務者輸送費、個体処分費含む、"&amp;"捕獲者経費"&amp;H7&amp;"円の28%以内"</f>
        <v>労務者輸送費、個体処分費含む、捕獲者経費316000円の28%以内</v>
      </c>
      <c r="J8" s="127"/>
      <c r="K8" s="522" t="s">
        <v>38</v>
      </c>
      <c r="L8" s="523"/>
      <c r="M8" s="133"/>
      <c r="N8" s="134">
        <v>0.56999999999999995</v>
      </c>
    </row>
    <row r="9" spans="2:15" ht="30.75" customHeight="1" x14ac:dyDescent="0.2">
      <c r="B9" s="110"/>
      <c r="C9" s="104" t="s">
        <v>61</v>
      </c>
      <c r="D9" s="104"/>
      <c r="E9" s="243"/>
      <c r="F9" s="22">
        <f>SUM(F5:F8)</f>
        <v>13</v>
      </c>
      <c r="G9" s="23" t="s">
        <v>11</v>
      </c>
      <c r="H9" s="22">
        <f>SUM(H5:H8)</f>
        <v>528984</v>
      </c>
      <c r="I9" s="111"/>
      <c r="J9" s="127"/>
      <c r="K9" s="131" t="s">
        <v>35</v>
      </c>
      <c r="L9" s="122">
        <f>H5+H6</f>
        <v>126400</v>
      </c>
      <c r="M9" s="135"/>
      <c r="N9" s="125">
        <f>L9/H12*L10+L9</f>
        <v>208524.41275447304</v>
      </c>
    </row>
    <row r="10" spans="2:15" ht="30.75" customHeight="1" x14ac:dyDescent="0.2">
      <c r="B10" s="95" t="s">
        <v>143</v>
      </c>
      <c r="C10" s="242" t="s">
        <v>144</v>
      </c>
      <c r="D10" s="21" t="s">
        <v>516</v>
      </c>
      <c r="E10" s="22">
        <f>6000*(B20/100)</f>
        <v>750</v>
      </c>
      <c r="F10" s="21">
        <v>15</v>
      </c>
      <c r="G10" s="23" t="s">
        <v>21</v>
      </c>
      <c r="H10" s="22">
        <f>E10*F10</f>
        <v>11250</v>
      </c>
      <c r="I10" s="111" t="str">
        <f>"損料"&amp;B20&amp;"％（=15%×(25日/30日)）、１5台、＠6,000"</f>
        <v>損料12.5％（=15%×(25日/30日)）、１5台、＠6,000</v>
      </c>
      <c r="J10" s="127"/>
      <c r="K10" s="136" t="s">
        <v>62</v>
      </c>
      <c r="L10" s="122">
        <f>H13+H15</f>
        <v>351000</v>
      </c>
      <c r="M10" s="135"/>
    </row>
    <row r="11" spans="2:15" ht="30.75" customHeight="1" thickBot="1" x14ac:dyDescent="0.25">
      <c r="B11" s="244"/>
      <c r="C11" s="245" t="s">
        <v>61</v>
      </c>
      <c r="D11" s="245"/>
      <c r="E11" s="246"/>
      <c r="F11" s="245"/>
      <c r="G11" s="247"/>
      <c r="H11" s="55">
        <f>SUM(H10:H10)</f>
        <v>11250</v>
      </c>
      <c r="I11" s="248"/>
      <c r="J11" s="127"/>
      <c r="M11" s="135"/>
    </row>
    <row r="12" spans="2:15" ht="30.75" customHeight="1" x14ac:dyDescent="0.2">
      <c r="B12" s="524" t="s">
        <v>37</v>
      </c>
      <c r="C12" s="525"/>
      <c r="D12" s="525"/>
      <c r="E12" s="525"/>
      <c r="F12" s="525"/>
      <c r="G12" s="526"/>
      <c r="H12" s="45">
        <f>H9+H11</f>
        <v>540234</v>
      </c>
      <c r="I12" s="112"/>
      <c r="J12" s="127"/>
      <c r="K12" s="127"/>
      <c r="L12" s="127"/>
      <c r="M12" s="127"/>
    </row>
    <row r="13" spans="2:15" ht="30.75" customHeight="1" x14ac:dyDescent="0.2">
      <c r="B13" s="489" t="s">
        <v>12</v>
      </c>
      <c r="C13" s="484"/>
      <c r="D13" s="484"/>
      <c r="E13" s="484"/>
      <c r="F13" s="484"/>
      <c r="G13" s="485"/>
      <c r="H13" s="22">
        <f>ROUNDDOWN(H12/2,-3)</f>
        <v>270000</v>
      </c>
      <c r="I13" s="46" t="s">
        <v>169</v>
      </c>
      <c r="J13" s="127"/>
      <c r="K13" s="127"/>
      <c r="L13" s="127"/>
      <c r="M13" s="127"/>
    </row>
    <row r="14" spans="2:15" ht="30.75" customHeight="1" x14ac:dyDescent="0.2">
      <c r="B14" s="489" t="s">
        <v>24</v>
      </c>
      <c r="C14" s="484"/>
      <c r="D14" s="484"/>
      <c r="E14" s="484"/>
      <c r="F14" s="484"/>
      <c r="G14" s="485"/>
      <c r="H14" s="22">
        <f>ROUNDDOWN(SUM(H12:H13),-4)</f>
        <v>810000</v>
      </c>
      <c r="I14" s="46" t="s">
        <v>131</v>
      </c>
      <c r="J14" s="127"/>
      <c r="K14" s="127"/>
      <c r="L14" s="130"/>
      <c r="M14" s="130"/>
    </row>
    <row r="15" spans="2:15" ht="30.75" customHeight="1" x14ac:dyDescent="0.2">
      <c r="B15" s="489" t="s">
        <v>13</v>
      </c>
      <c r="C15" s="484"/>
      <c r="D15" s="484"/>
      <c r="E15" s="484"/>
      <c r="F15" s="484"/>
      <c r="G15" s="485"/>
      <c r="H15" s="22">
        <f>ROUNDDOWN((H14*0.1),1)</f>
        <v>81000</v>
      </c>
      <c r="I15" s="249">
        <v>0.1</v>
      </c>
      <c r="J15" s="127"/>
      <c r="K15" s="127"/>
      <c r="L15" s="130"/>
      <c r="M15" s="130"/>
    </row>
    <row r="16" spans="2:15" ht="30.75" customHeight="1" thickBot="1" x14ac:dyDescent="0.25">
      <c r="B16" s="490" t="s">
        <v>20</v>
      </c>
      <c r="C16" s="491"/>
      <c r="D16" s="491"/>
      <c r="E16" s="491"/>
      <c r="F16" s="491"/>
      <c r="G16" s="492"/>
      <c r="H16" s="218">
        <f>SUM(H14:H15)</f>
        <v>891000</v>
      </c>
      <c r="I16" s="250"/>
      <c r="J16" s="127"/>
      <c r="K16" s="127"/>
      <c r="L16" s="130"/>
      <c r="M16" s="130"/>
    </row>
    <row r="17" spans="2:13" ht="21" customHeight="1" x14ac:dyDescent="0.2">
      <c r="B17" s="519" t="str">
        <f>"※"&amp;単価!G2&amp;"参照"</f>
        <v>※P120-「令和５年度設計業務委託等技術者単価」抜粋／土木工事単価資料【土木工事編】【業務委託編】令和４年度（３月改訂版）参照</v>
      </c>
      <c r="C17" s="519"/>
      <c r="D17" s="519"/>
      <c r="E17" s="519"/>
      <c r="F17" s="519"/>
      <c r="G17" s="519"/>
      <c r="H17" s="519"/>
      <c r="I17" s="519"/>
      <c r="J17" s="127"/>
      <c r="K17" s="127"/>
      <c r="L17" s="130"/>
      <c r="M17" s="130"/>
    </row>
    <row r="18" spans="2:13" ht="23.25" customHeight="1" x14ac:dyDescent="0.2">
      <c r="B18" s="238" t="str">
        <f>"※"&amp;単価!G19&amp;"参照"</f>
        <v>※P601-「表２．２　足場材、支保材、防護柵の材料損料率（注）１」／令和４年度版治山林道必携　積算・施工編【上巻】参照</v>
      </c>
      <c r="J18" s="127"/>
      <c r="K18" s="127"/>
      <c r="L18" s="130"/>
      <c r="M18" s="130"/>
    </row>
    <row r="19" spans="2:13" ht="21.75" customHeight="1" x14ac:dyDescent="0.2">
      <c r="B19" s="127" t="s">
        <v>515</v>
      </c>
      <c r="I19" s="125"/>
      <c r="J19" s="127"/>
      <c r="K19" s="127"/>
      <c r="L19" s="130"/>
      <c r="M19" s="130"/>
    </row>
    <row r="20" spans="2:13" ht="21.75" customHeight="1" x14ac:dyDescent="0.2">
      <c r="B20" s="127">
        <f>単価!E19*(25/30)</f>
        <v>12.5</v>
      </c>
      <c r="J20" s="127"/>
      <c r="K20" s="135"/>
      <c r="L20" s="127"/>
      <c r="M20" s="127"/>
    </row>
    <row r="21" spans="2:13" ht="21.75" customHeight="1" x14ac:dyDescent="0.2">
      <c r="B21" s="13"/>
    </row>
    <row r="22" spans="2:13" ht="21.75" customHeight="1" x14ac:dyDescent="0.2"/>
    <row r="23" spans="2:13" ht="19.5" customHeight="1" x14ac:dyDescent="0.2">
      <c r="B23" s="127"/>
    </row>
    <row r="24" spans="2:13" ht="19.5" customHeight="1" x14ac:dyDescent="0.2"/>
    <row r="25" spans="2:13" ht="19.5" customHeight="1" x14ac:dyDescent="0.2">
      <c r="C25" s="123" t="s">
        <v>14</v>
      </c>
      <c r="D25" s="137" t="str">
        <f>IF(H13&lt;D30,"○")</f>
        <v>○</v>
      </c>
    </row>
    <row r="26" spans="2:13" ht="19.5" customHeight="1" x14ac:dyDescent="0.2">
      <c r="B26" s="128" t="s">
        <v>31</v>
      </c>
      <c r="C26" s="123" t="s">
        <v>15</v>
      </c>
      <c r="D26" s="138">
        <f>ROUND(D28*D27^D29,1)</f>
        <v>64.2</v>
      </c>
      <c r="E26" s="123"/>
    </row>
    <row r="27" spans="2:13" x14ac:dyDescent="0.2">
      <c r="B27" s="128" t="s">
        <v>16</v>
      </c>
      <c r="C27" s="123" t="s">
        <v>17</v>
      </c>
      <c r="D27" s="137">
        <f>SUM(H12)</f>
        <v>540234</v>
      </c>
      <c r="E27" s="123"/>
      <c r="L27" s="125"/>
      <c r="M27" s="125"/>
    </row>
    <row r="28" spans="2:13" x14ac:dyDescent="0.2">
      <c r="C28" s="123" t="s">
        <v>32</v>
      </c>
      <c r="D28" s="139">
        <v>285.3</v>
      </c>
      <c r="E28" s="123"/>
    </row>
    <row r="29" spans="2:13" x14ac:dyDescent="0.2">
      <c r="C29" s="123" t="s">
        <v>33</v>
      </c>
      <c r="D29" s="140">
        <v>-0.113</v>
      </c>
      <c r="E29" s="123"/>
    </row>
    <row r="30" spans="2:13" x14ac:dyDescent="0.2">
      <c r="C30" s="123" t="s">
        <v>18</v>
      </c>
      <c r="D30" s="137">
        <f>D27*(D26/100)</f>
        <v>346830.228</v>
      </c>
      <c r="E30" s="123"/>
    </row>
    <row r="31" spans="2:13" x14ac:dyDescent="0.2">
      <c r="B31" s="125"/>
      <c r="C31" s="123" t="s">
        <v>19</v>
      </c>
      <c r="D31" s="139">
        <f>H13*100/D27</f>
        <v>49.978342718155467</v>
      </c>
      <c r="E31" s="123"/>
    </row>
  </sheetData>
  <mergeCells count="10">
    <mergeCell ref="B17:I17"/>
    <mergeCell ref="K3:L3"/>
    <mergeCell ref="C5:C6"/>
    <mergeCell ref="I5:I6"/>
    <mergeCell ref="B16:G16"/>
    <mergeCell ref="K8:L8"/>
    <mergeCell ref="B12:G12"/>
    <mergeCell ref="B13:G13"/>
    <mergeCell ref="B14:G14"/>
    <mergeCell ref="B15:G15"/>
  </mergeCells>
  <phoneticPr fontId="7"/>
  <pageMargins left="0.67" right="0.18" top="1.7" bottom="0.98425196850393704" header="0.51181102362204722" footer="0.5118110236220472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2:H21"/>
  <sheetViews>
    <sheetView workbookViewId="0"/>
  </sheetViews>
  <sheetFormatPr defaultColWidth="9" defaultRowHeight="13" x14ac:dyDescent="0.2"/>
  <cols>
    <col min="1" max="1" width="1.6328125" customWidth="1"/>
    <col min="2" max="2" width="21.453125" customWidth="1"/>
    <col min="3" max="3" width="16.6328125" customWidth="1"/>
    <col min="4" max="4" width="9.90625" style="4" bestFit="1" customWidth="1"/>
    <col min="5" max="5" width="7.08984375" customWidth="1"/>
    <col min="6" max="6" width="7.08984375" style="5" customWidth="1"/>
    <col min="7" max="7" width="10.90625" style="4" customWidth="1"/>
    <col min="8" max="8" width="33.36328125" customWidth="1"/>
    <col min="9" max="9" width="6" customWidth="1"/>
    <col min="10" max="10" width="11.08984375" bestFit="1" customWidth="1"/>
  </cols>
  <sheetData>
    <row r="2" spans="2:8" s="1" customFormat="1" ht="16.5" x14ac:dyDescent="0.2">
      <c r="B2" s="1" t="s">
        <v>191</v>
      </c>
      <c r="D2" s="2"/>
      <c r="F2" s="13"/>
      <c r="G2" s="2"/>
    </row>
    <row r="3" spans="2:8" ht="13.5" thickBot="1" x14ac:dyDescent="0.25">
      <c r="H3" s="9"/>
    </row>
    <row r="4" spans="2:8" s="5" customFormat="1" ht="18.75" customHeight="1" x14ac:dyDescent="0.2">
      <c r="B4" s="17" t="s">
        <v>40</v>
      </c>
      <c r="C4" s="18" t="s">
        <v>1</v>
      </c>
      <c r="D4" s="19" t="s">
        <v>2</v>
      </c>
      <c r="E4" s="18" t="s">
        <v>3</v>
      </c>
      <c r="F4" s="18" t="s">
        <v>4</v>
      </c>
      <c r="G4" s="19" t="s">
        <v>5</v>
      </c>
      <c r="H4" s="20" t="s">
        <v>6</v>
      </c>
    </row>
    <row r="5" spans="2:8" ht="37" customHeight="1" x14ac:dyDescent="0.2">
      <c r="B5" s="486" t="s">
        <v>190</v>
      </c>
      <c r="C5" s="21" t="s">
        <v>41</v>
      </c>
      <c r="D5" s="22">
        <f>D19</f>
        <v>947.69</v>
      </c>
      <c r="E5" s="21">
        <v>28</v>
      </c>
      <c r="F5" s="23" t="s">
        <v>22</v>
      </c>
      <c r="G5" s="22">
        <f>D5*E5</f>
        <v>26535.32</v>
      </c>
      <c r="H5" s="254" t="s">
        <v>188</v>
      </c>
    </row>
    <row r="6" spans="2:8" ht="27" customHeight="1" x14ac:dyDescent="0.2">
      <c r="B6" s="487"/>
      <c r="C6" s="21" t="s">
        <v>42</v>
      </c>
      <c r="D6" s="22">
        <v>4000</v>
      </c>
      <c r="E6" s="21">
        <v>15</v>
      </c>
      <c r="F6" s="23" t="s">
        <v>43</v>
      </c>
      <c r="G6" s="22">
        <f>D6*E6</f>
        <v>60000</v>
      </c>
      <c r="H6" s="111" t="s">
        <v>138</v>
      </c>
    </row>
    <row r="7" spans="2:8" ht="27" customHeight="1" thickBot="1" x14ac:dyDescent="0.25">
      <c r="B7" s="498"/>
      <c r="C7" s="47" t="s">
        <v>10</v>
      </c>
      <c r="D7" s="218"/>
      <c r="E7" s="47"/>
      <c r="F7" s="219"/>
      <c r="G7" s="218">
        <f>ROUNDDOWN(SUM(G5:G6),-3)</f>
        <v>86000</v>
      </c>
      <c r="H7" s="250" t="s">
        <v>530</v>
      </c>
    </row>
    <row r="8" spans="2:8" ht="27" customHeight="1" x14ac:dyDescent="0.2">
      <c r="H8" s="33"/>
    </row>
    <row r="9" spans="2:8" x14ac:dyDescent="0.2">
      <c r="B9" t="s">
        <v>44</v>
      </c>
      <c r="H9" s="33"/>
    </row>
    <row r="10" spans="2:8" x14ac:dyDescent="0.2">
      <c r="B10" s="147" t="s">
        <v>524</v>
      </c>
      <c r="D10"/>
      <c r="F10"/>
      <c r="G10"/>
    </row>
    <row r="11" spans="2:8" ht="26" x14ac:dyDescent="0.2">
      <c r="B11" s="12"/>
      <c r="C11" s="251" t="s">
        <v>117</v>
      </c>
      <c r="D11" s="12" t="s">
        <v>526</v>
      </c>
      <c r="E11" s="12" t="s">
        <v>45</v>
      </c>
      <c r="F11" s="12" t="s">
        <v>46</v>
      </c>
      <c r="G11" s="79" t="s">
        <v>47</v>
      </c>
      <c r="H11" s="79" t="s">
        <v>527</v>
      </c>
    </row>
    <row r="12" spans="2:8" x14ac:dyDescent="0.2">
      <c r="B12" s="35" t="s">
        <v>121</v>
      </c>
      <c r="C12" s="252" t="s">
        <v>122</v>
      </c>
      <c r="D12" s="34" t="s">
        <v>16</v>
      </c>
      <c r="E12" s="35" t="s">
        <v>48</v>
      </c>
      <c r="F12" s="35" t="s">
        <v>49</v>
      </c>
      <c r="G12" s="34" t="s">
        <v>50</v>
      </c>
      <c r="H12" s="34" t="s">
        <v>16</v>
      </c>
    </row>
    <row r="13" spans="2:8" x14ac:dyDescent="0.2">
      <c r="B13" s="65" t="s">
        <v>194</v>
      </c>
      <c r="C13" s="65">
        <f>19.4*1.5</f>
        <v>29.099999999999998</v>
      </c>
      <c r="D13" s="228">
        <f>単価!E6</f>
        <v>150</v>
      </c>
      <c r="E13" s="35">
        <v>10</v>
      </c>
      <c r="F13" s="35">
        <v>30</v>
      </c>
      <c r="G13" s="81">
        <f>ROUNDDOWN(C13/F13,2)</f>
        <v>0.97</v>
      </c>
      <c r="H13" s="255">
        <f>単価!E12</f>
        <v>527</v>
      </c>
    </row>
    <row r="14" spans="2:8" x14ac:dyDescent="0.2">
      <c r="B14" s="321" t="str">
        <f>"※"&amp;単価!G6&amp;"参照"</f>
        <v>※P20-「ガソリン（委託用）レギュラー／3-1 03)燃料類」抜粋／土木工事単価資料【土木工事編】【業務委託編】令和４年度（３月改訂版）参照</v>
      </c>
      <c r="D14"/>
      <c r="F14"/>
      <c r="G14"/>
    </row>
    <row r="15" spans="2:8" x14ac:dyDescent="0.2">
      <c r="B15" s="321" t="str">
        <f>"※"&amp;単価!G12&amp;"参照"</f>
        <v>※P321-「2022ライトバン／20 その他の機器／経費積算要領第２建設期間損料算定表」／令和４年度版治山林道必携積算・施工編【下巻】参照</v>
      </c>
      <c r="D15"/>
      <c r="F15"/>
      <c r="G15"/>
    </row>
    <row r="16" spans="2:8" x14ac:dyDescent="0.2">
      <c r="B16" s="527" t="s">
        <v>525</v>
      </c>
      <c r="C16" s="528"/>
      <c r="D16" s="38" t="s">
        <v>51</v>
      </c>
      <c r="E16" s="43"/>
      <c r="G16" s="9"/>
    </row>
    <row r="17" spans="2:8" x14ac:dyDescent="0.2">
      <c r="B17" s="39" t="s">
        <v>58</v>
      </c>
      <c r="C17" s="37"/>
      <c r="D17" s="253">
        <f>C13*D13/E13</f>
        <v>436.5</v>
      </c>
      <c r="E17" s="43"/>
      <c r="G17" s="9"/>
    </row>
    <row r="18" spans="2:8" x14ac:dyDescent="0.2">
      <c r="B18" s="40" t="s">
        <v>52</v>
      </c>
      <c r="C18" s="41"/>
      <c r="D18" s="253">
        <f>G13*H13</f>
        <v>511.19</v>
      </c>
      <c r="G18"/>
    </row>
    <row r="19" spans="2:8" x14ac:dyDescent="0.2">
      <c r="B19" s="527" t="s">
        <v>53</v>
      </c>
      <c r="C19" s="529"/>
      <c r="D19" s="253">
        <f>SUM(D17:D18)</f>
        <v>947.69</v>
      </c>
      <c r="E19" s="43"/>
      <c r="H19" s="5"/>
    </row>
    <row r="20" spans="2:8" x14ac:dyDescent="0.2">
      <c r="B20" s="238"/>
      <c r="G20"/>
    </row>
    <row r="21" spans="2:8" x14ac:dyDescent="0.2">
      <c r="G21"/>
    </row>
  </sheetData>
  <mergeCells count="3">
    <mergeCell ref="B16:C16"/>
    <mergeCell ref="B19:C19"/>
    <mergeCell ref="B5:B7"/>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P9"/>
  <sheetViews>
    <sheetView workbookViewId="0"/>
  </sheetViews>
  <sheetFormatPr defaultColWidth="9" defaultRowHeight="13" x14ac:dyDescent="0.2"/>
  <cols>
    <col min="1" max="1" width="1.6328125" style="13" customWidth="1"/>
    <col min="2" max="2" width="12.90625" style="13" customWidth="1"/>
    <col min="3" max="3" width="20.08984375" style="13" customWidth="1"/>
    <col min="4" max="4" width="15.08984375" style="13" bestFit="1" customWidth="1"/>
    <col min="5" max="5" width="9.90625" style="14" bestFit="1" customWidth="1"/>
    <col min="6" max="6" width="5.90625" style="13" customWidth="1"/>
    <col min="7" max="7" width="6.08984375" style="15" customWidth="1"/>
    <col min="8" max="8" width="10.90625" style="14" customWidth="1"/>
    <col min="9" max="9" width="28.36328125" style="13" bestFit="1" customWidth="1"/>
    <col min="10" max="10" width="1.90625" style="13" customWidth="1"/>
    <col min="11" max="11" width="11.08984375" bestFit="1" customWidth="1"/>
    <col min="12" max="12" width="13.36328125" customWidth="1"/>
    <col min="17" max="16384" width="9" style="13"/>
  </cols>
  <sheetData>
    <row r="2" spans="2:16" s="1" customFormat="1" ht="25.5" customHeight="1" x14ac:dyDescent="0.2">
      <c r="B2" s="27" t="s">
        <v>63</v>
      </c>
      <c r="E2" s="2"/>
      <c r="G2" s="13"/>
      <c r="H2" s="2"/>
      <c r="K2"/>
      <c r="L2"/>
      <c r="M2"/>
      <c r="N2"/>
      <c r="O2"/>
      <c r="P2"/>
    </row>
    <row r="3" spans="2:16" ht="13.5" thickBot="1" x14ac:dyDescent="0.25">
      <c r="I3" s="16"/>
    </row>
    <row r="4" spans="2:16" s="15" customFormat="1" ht="23.25" customHeight="1" x14ac:dyDescent="0.2">
      <c r="B4" s="17" t="s">
        <v>0</v>
      </c>
      <c r="C4" s="18" t="s">
        <v>36</v>
      </c>
      <c r="D4" s="18" t="s">
        <v>1</v>
      </c>
      <c r="E4" s="19" t="s">
        <v>2</v>
      </c>
      <c r="F4" s="18" t="s">
        <v>3</v>
      </c>
      <c r="G4" s="18" t="s">
        <v>4</v>
      </c>
      <c r="H4" s="19" t="s">
        <v>5</v>
      </c>
      <c r="I4" s="20" t="s">
        <v>6</v>
      </c>
      <c r="K4"/>
      <c r="L4"/>
      <c r="M4"/>
      <c r="N4"/>
      <c r="O4"/>
      <c r="P4"/>
    </row>
    <row r="5" spans="2:16" ht="45.75" customHeight="1" x14ac:dyDescent="0.2">
      <c r="B5" s="517" t="s">
        <v>64</v>
      </c>
      <c r="C5" s="90" t="s">
        <v>39</v>
      </c>
      <c r="D5" s="90" t="s">
        <v>67</v>
      </c>
      <c r="E5" s="22">
        <f>単価!E18</f>
        <v>8380</v>
      </c>
      <c r="F5" s="21">
        <v>2</v>
      </c>
      <c r="G5" s="23" t="s">
        <v>34</v>
      </c>
      <c r="H5" s="22">
        <f>E5*F5</f>
        <v>16760</v>
      </c>
      <c r="I5" s="50" t="s">
        <v>511</v>
      </c>
    </row>
    <row r="6" spans="2:16" ht="45.75" customHeight="1" x14ac:dyDescent="0.2">
      <c r="B6" s="530"/>
      <c r="C6" s="90" t="s">
        <v>473</v>
      </c>
      <c r="D6" s="224"/>
      <c r="E6" s="212">
        <f>4340+65900+22000</f>
        <v>92240</v>
      </c>
      <c r="F6" s="213">
        <v>1</v>
      </c>
      <c r="G6" s="214" t="s">
        <v>472</v>
      </c>
      <c r="H6" s="212">
        <f>E6*F6</f>
        <v>92240</v>
      </c>
      <c r="I6" s="225"/>
    </row>
    <row r="7" spans="2:16" ht="23.25" customHeight="1" x14ac:dyDescent="0.2">
      <c r="B7" s="23" t="s">
        <v>24</v>
      </c>
      <c r="C7" s="21"/>
      <c r="D7" s="21"/>
      <c r="E7" s="22"/>
      <c r="F7" s="21"/>
      <c r="G7" s="23"/>
      <c r="H7" s="22">
        <f>SUM(H5:H6)</f>
        <v>109000</v>
      </c>
      <c r="I7" s="21"/>
    </row>
    <row r="8" spans="2:16" ht="23.25" customHeight="1" x14ac:dyDescent="0.2"/>
    <row r="9" spans="2:16" x14ac:dyDescent="0.2">
      <c r="C9"/>
    </row>
  </sheetData>
  <mergeCells count="1">
    <mergeCell ref="B5:B6"/>
  </mergeCells>
  <phoneticPr fontId="7"/>
  <pageMargins left="0.67" right="0.18" top="1.7"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B2:N19"/>
  <sheetViews>
    <sheetView workbookViewId="0"/>
  </sheetViews>
  <sheetFormatPr defaultColWidth="9" defaultRowHeight="13" x14ac:dyDescent="0.2"/>
  <cols>
    <col min="1" max="1" width="1.6328125" style="13" customWidth="1"/>
    <col min="2" max="2" width="12.90625" style="13" customWidth="1"/>
    <col min="3" max="3" width="15.08984375" style="13" bestFit="1" customWidth="1"/>
    <col min="4" max="4" width="11" style="14" bestFit="1" customWidth="1"/>
    <col min="5" max="5" width="5.90625" style="13" customWidth="1"/>
    <col min="6" max="6" width="6.08984375" style="15" customWidth="1"/>
    <col min="7" max="7" width="10.90625" style="14" customWidth="1"/>
    <col min="8" max="8" width="31.90625" style="13" customWidth="1"/>
    <col min="9" max="9" width="1.90625" style="13" customWidth="1"/>
    <col min="10" max="10" width="11.08984375" style="13" bestFit="1" customWidth="1"/>
    <col min="11" max="11" width="13.453125" style="13" customWidth="1"/>
    <col min="12" max="16384" width="9" style="13"/>
  </cols>
  <sheetData>
    <row r="2" spans="2:14" s="1" customFormat="1" ht="16.5" x14ac:dyDescent="0.2">
      <c r="B2" s="27" t="s">
        <v>124</v>
      </c>
      <c r="D2" s="2"/>
      <c r="F2" s="3"/>
      <c r="G2" s="2"/>
    </row>
    <row r="3" spans="2:14" x14ac:dyDescent="0.2">
      <c r="H3" s="16"/>
    </row>
    <row r="4" spans="2:14" s="15" customFormat="1" ht="20.25" customHeight="1" x14ac:dyDescent="0.2">
      <c r="B4" s="23" t="s">
        <v>0</v>
      </c>
      <c r="C4" s="23" t="s">
        <v>1</v>
      </c>
      <c r="D4" s="235" t="s">
        <v>2</v>
      </c>
      <c r="E4" s="23" t="s">
        <v>3</v>
      </c>
      <c r="F4" s="23" t="s">
        <v>4</v>
      </c>
      <c r="G4" s="235" t="s">
        <v>5</v>
      </c>
      <c r="H4" s="23" t="s">
        <v>6</v>
      </c>
    </row>
    <row r="5" spans="2:14" ht="44.25" customHeight="1" x14ac:dyDescent="0.2">
      <c r="B5" s="397" t="s">
        <v>197</v>
      </c>
      <c r="C5" s="21" t="s">
        <v>436</v>
      </c>
      <c r="D5" s="22">
        <f>単価!E14</f>
        <v>10640</v>
      </c>
      <c r="E5" s="21">
        <v>5</v>
      </c>
      <c r="F5" s="23" t="s">
        <v>34</v>
      </c>
      <c r="G5" s="22">
        <f>+D5*E5</f>
        <v>53200</v>
      </c>
      <c r="H5" s="236" t="str">
        <f>単価!G14</f>
        <v>丸太町～宮津（往復）→宮津市役所</v>
      </c>
      <c r="L5" s="14"/>
    </row>
    <row r="6" spans="2:14" ht="44.25" customHeight="1" x14ac:dyDescent="0.2">
      <c r="B6" s="398"/>
      <c r="C6" s="21" t="s">
        <v>436</v>
      </c>
      <c r="D6" s="22">
        <f>単価!E15</f>
        <v>8260</v>
      </c>
      <c r="E6" s="21">
        <v>5</v>
      </c>
      <c r="F6" s="23" t="s">
        <v>34</v>
      </c>
      <c r="G6" s="22">
        <f>+D6*E6</f>
        <v>41300</v>
      </c>
      <c r="H6" s="236" t="str">
        <f>単価!G15</f>
        <v>丸太町～東舞鶴（往復）→舞鶴市役所</v>
      </c>
      <c r="L6" s="14"/>
    </row>
    <row r="7" spans="2:14" ht="44.25" customHeight="1" x14ac:dyDescent="0.2">
      <c r="B7" s="399"/>
      <c r="C7" s="21" t="s">
        <v>507</v>
      </c>
      <c r="D7" s="22">
        <f>8360+8140</f>
        <v>16500</v>
      </c>
      <c r="E7" s="21">
        <v>1</v>
      </c>
      <c r="F7" s="23" t="s">
        <v>505</v>
      </c>
      <c r="G7" s="22">
        <f>+D7*E7</f>
        <v>16500</v>
      </c>
      <c r="H7" s="236" t="s">
        <v>506</v>
      </c>
      <c r="L7" s="14"/>
    </row>
    <row r="8" spans="2:14" ht="22.5" customHeight="1" x14ac:dyDescent="0.2">
      <c r="B8" s="23" t="s">
        <v>24</v>
      </c>
      <c r="C8" s="21"/>
      <c r="D8" s="22"/>
      <c r="E8" s="21"/>
      <c r="F8" s="23"/>
      <c r="G8" s="22">
        <f>SUM(G5:G7)</f>
        <v>111000</v>
      </c>
      <c r="H8" s="21"/>
      <c r="J8" s="14"/>
      <c r="K8" s="26"/>
      <c r="L8" s="26"/>
      <c r="M8" s="24"/>
    </row>
    <row r="9" spans="2:14" ht="40.5" customHeight="1" x14ac:dyDescent="0.2">
      <c r="B9" s="238"/>
      <c r="K9" s="14"/>
      <c r="L9" s="24"/>
    </row>
    <row r="10" spans="2:14" x14ac:dyDescent="0.2">
      <c r="L10" s="24"/>
    </row>
    <row r="11" spans="2:14" x14ac:dyDescent="0.2">
      <c r="L11" s="24"/>
    </row>
    <row r="12" spans="2:14" x14ac:dyDescent="0.2">
      <c r="L12" s="25"/>
      <c r="M12" s="25"/>
      <c r="N12" s="25"/>
    </row>
    <row r="19" spans="11:11" x14ac:dyDescent="0.2">
      <c r="K19" s="14"/>
    </row>
  </sheetData>
  <mergeCells count="1">
    <mergeCell ref="B5:B7"/>
  </mergeCells>
  <phoneticPr fontId="7"/>
  <pageMargins left="0.7" right="0.7" top="0.75" bottom="0.75" header="0.3" footer="0.3"/>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O35"/>
  <sheetViews>
    <sheetView workbookViewId="0"/>
  </sheetViews>
  <sheetFormatPr defaultColWidth="9" defaultRowHeight="13" x14ac:dyDescent="0.2"/>
  <cols>
    <col min="1" max="1" width="1.6328125" customWidth="1"/>
    <col min="2" max="2" width="17.08984375" customWidth="1"/>
    <col min="3" max="3" width="20.08984375" customWidth="1"/>
    <col min="4" max="4" width="15.08984375" bestFit="1" customWidth="1"/>
    <col min="5" max="5" width="9.90625" style="4" bestFit="1" customWidth="1"/>
    <col min="6" max="6" width="6" customWidth="1"/>
    <col min="7" max="7" width="6.08984375" style="5" customWidth="1"/>
    <col min="8" max="8" width="12.08984375" style="4" bestFit="1" customWidth="1"/>
    <col min="9" max="9" width="64.453125" customWidth="1"/>
    <col min="10" max="10" width="1.90625" customWidth="1"/>
    <col min="11" max="11" width="19.08984375" customWidth="1"/>
    <col min="12" max="12" width="15.08984375" bestFit="1" customWidth="1"/>
    <col min="13" max="13" width="12.453125" customWidth="1"/>
    <col min="14" max="14" width="11.90625" customWidth="1"/>
    <col min="15" max="15" width="14" customWidth="1"/>
  </cols>
  <sheetData>
    <row r="1" spans="2:15" s="1" customFormat="1" ht="25.5" customHeight="1" x14ac:dyDescent="0.2">
      <c r="B1" s="83" t="s">
        <v>127</v>
      </c>
      <c r="E1" s="2"/>
      <c r="G1" s="13"/>
      <c r="H1" s="2"/>
      <c r="M1" s="5"/>
      <c r="N1" s="5"/>
    </row>
    <row r="2" spans="2:15" ht="13.5" thickBot="1" x14ac:dyDescent="0.25">
      <c r="I2" s="9"/>
    </row>
    <row r="3" spans="2:15" s="5" customFormat="1" ht="23.25" customHeight="1" x14ac:dyDescent="0.2">
      <c r="B3" s="115" t="s">
        <v>0</v>
      </c>
      <c r="C3" s="117" t="s">
        <v>36</v>
      </c>
      <c r="D3" s="117" t="s">
        <v>1</v>
      </c>
      <c r="E3" s="86" t="s">
        <v>2</v>
      </c>
      <c r="F3" s="117" t="s">
        <v>3</v>
      </c>
      <c r="G3" s="117" t="s">
        <v>4</v>
      </c>
      <c r="H3" s="86" t="s">
        <v>5</v>
      </c>
      <c r="I3" s="20" t="s">
        <v>6</v>
      </c>
      <c r="K3" s="531" t="s">
        <v>183</v>
      </c>
      <c r="L3" s="532"/>
    </row>
    <row r="4" spans="2:15" ht="40.5" customHeight="1" x14ac:dyDescent="0.2">
      <c r="B4" s="533" t="s">
        <v>499</v>
      </c>
      <c r="C4" s="534"/>
      <c r="D4" s="534"/>
      <c r="E4" s="534"/>
      <c r="F4" s="534"/>
      <c r="G4" s="240"/>
      <c r="H4" s="243"/>
      <c r="I4" s="361" t="s">
        <v>539</v>
      </c>
      <c r="K4" s="67" t="s">
        <v>8</v>
      </c>
      <c r="L4" s="78">
        <v>51200</v>
      </c>
      <c r="M4" t="s">
        <v>26</v>
      </c>
    </row>
    <row r="5" spans="2:15" ht="23.25" customHeight="1" x14ac:dyDescent="0.2">
      <c r="B5" s="95" t="s">
        <v>492</v>
      </c>
      <c r="C5" s="396" t="s">
        <v>23</v>
      </c>
      <c r="D5" s="107" t="s">
        <v>8</v>
      </c>
      <c r="E5" s="308">
        <f>単価!E2</f>
        <v>55200</v>
      </c>
      <c r="F5" s="108">
        <v>1</v>
      </c>
      <c r="G5" s="109" t="s">
        <v>11</v>
      </c>
      <c r="H5" s="308">
        <f>+E5*F5</f>
        <v>55200</v>
      </c>
      <c r="I5" s="479" t="s">
        <v>186</v>
      </c>
      <c r="K5" s="67" t="s">
        <v>9</v>
      </c>
      <c r="L5" s="78">
        <v>32800</v>
      </c>
      <c r="M5" t="s">
        <v>27</v>
      </c>
    </row>
    <row r="6" spans="2:15" ht="23.25" customHeight="1" x14ac:dyDescent="0.2">
      <c r="B6" s="95"/>
      <c r="C6" s="396"/>
      <c r="D6" s="44" t="s">
        <v>9</v>
      </c>
      <c r="E6" s="22">
        <f>単価!E4</f>
        <v>35600</v>
      </c>
      <c r="F6" s="21">
        <v>4</v>
      </c>
      <c r="G6" s="23" t="s">
        <v>11</v>
      </c>
      <c r="H6" s="22">
        <f>+E6*F6</f>
        <v>142400</v>
      </c>
      <c r="I6" s="482"/>
      <c r="K6" s="65" t="s">
        <v>7</v>
      </c>
      <c r="L6" s="78">
        <v>29000</v>
      </c>
      <c r="M6" t="s">
        <v>108</v>
      </c>
    </row>
    <row r="7" spans="2:15" ht="23.25" customHeight="1" x14ac:dyDescent="0.2">
      <c r="B7" s="95"/>
      <c r="C7" s="395" t="s">
        <v>28</v>
      </c>
      <c r="D7" s="44" t="s">
        <v>8</v>
      </c>
      <c r="E7" s="14">
        <f>単価!E2</f>
        <v>55200</v>
      </c>
      <c r="F7" s="21">
        <v>7</v>
      </c>
      <c r="G7" s="23" t="s">
        <v>11</v>
      </c>
      <c r="H7" s="22">
        <f>+E7*F7</f>
        <v>386400</v>
      </c>
      <c r="I7" s="89" t="s">
        <v>139</v>
      </c>
      <c r="K7" s="68"/>
      <c r="L7" s="68"/>
    </row>
    <row r="8" spans="2:15" ht="23.25" customHeight="1" x14ac:dyDescent="0.2">
      <c r="B8" s="95"/>
      <c r="C8" s="396"/>
      <c r="D8" s="44" t="s">
        <v>9</v>
      </c>
      <c r="E8" s="22">
        <f>単価!E4</f>
        <v>35600</v>
      </c>
      <c r="F8" s="21">
        <f>17*7</f>
        <v>119</v>
      </c>
      <c r="G8" s="23" t="s">
        <v>11</v>
      </c>
      <c r="H8" s="22">
        <f>+E8*F8</f>
        <v>4236400</v>
      </c>
      <c r="I8" s="88" t="s">
        <v>184</v>
      </c>
      <c r="K8" s="68">
        <f>SUM(H7:H9)</f>
        <v>5286400</v>
      </c>
      <c r="L8" s="68"/>
      <c r="M8" s="10"/>
    </row>
    <row r="9" spans="2:15" ht="23.25" customHeight="1" x14ac:dyDescent="0.2">
      <c r="B9" s="95"/>
      <c r="C9" s="396"/>
      <c r="D9" s="44" t="s">
        <v>7</v>
      </c>
      <c r="E9" s="22">
        <f>単価!E5</f>
        <v>31600</v>
      </c>
      <c r="F9" s="21">
        <f>3*7</f>
        <v>21</v>
      </c>
      <c r="G9" s="23" t="s">
        <v>11</v>
      </c>
      <c r="H9" s="22">
        <f>+E9*F9</f>
        <v>663600</v>
      </c>
      <c r="I9" s="88" t="s">
        <v>140</v>
      </c>
      <c r="K9" s="68"/>
      <c r="L9" s="68"/>
      <c r="M9" s="10"/>
    </row>
    <row r="10" spans="2:15" ht="51" customHeight="1" x14ac:dyDescent="0.2">
      <c r="B10" s="95"/>
      <c r="C10" s="481"/>
      <c r="D10" s="21" t="s">
        <v>25</v>
      </c>
      <c r="E10" s="22">
        <f>H10</f>
        <v>555072</v>
      </c>
      <c r="F10" s="21">
        <v>1</v>
      </c>
      <c r="G10" s="23" t="s">
        <v>538</v>
      </c>
      <c r="H10" s="22">
        <f>ROUNDDOWN(0.105*SUM(H7:H9),0)</f>
        <v>555072</v>
      </c>
      <c r="I10" s="351" t="str">
        <f>"弾代、労務者輸送費、個体処分費含む
捕獲者経費（=捕獲作業（銃）の直接人件費"&amp;M10&amp;"円）の15%以内"</f>
        <v>弾代、労務者輸送費、個体処分費含む
捕獲者経費（=捕獲作業（銃）の直接人件費5286400円）の15%以内</v>
      </c>
      <c r="K10" s="511" t="s">
        <v>38</v>
      </c>
      <c r="L10" s="512"/>
      <c r="M10" s="232">
        <f>SUM(H7:H9)</f>
        <v>5286400</v>
      </c>
    </row>
    <row r="11" spans="2:15" ht="29.25" customHeight="1" x14ac:dyDescent="0.2">
      <c r="B11" s="352" t="s">
        <v>10</v>
      </c>
      <c r="C11" s="21"/>
      <c r="D11" s="21"/>
      <c r="E11" s="22"/>
      <c r="F11" s="22"/>
      <c r="G11" s="23"/>
      <c r="H11" s="22">
        <f>SUM(H5:H10)</f>
        <v>6039072</v>
      </c>
      <c r="I11" s="111"/>
      <c r="K11" s="85" t="s">
        <v>23</v>
      </c>
      <c r="L11" s="92">
        <f>H5+H6</f>
        <v>197600</v>
      </c>
      <c r="M11" s="4"/>
    </row>
    <row r="12" spans="2:15" ht="23.25" customHeight="1" x14ac:dyDescent="0.2">
      <c r="B12" s="94" t="s">
        <v>75</v>
      </c>
      <c r="C12" s="395" t="s">
        <v>28</v>
      </c>
      <c r="D12" s="21" t="s">
        <v>29</v>
      </c>
      <c r="E12" s="22">
        <v>10000</v>
      </c>
      <c r="F12" s="21">
        <v>42</v>
      </c>
      <c r="G12" s="23" t="s">
        <v>30</v>
      </c>
      <c r="H12" s="22">
        <f>+E12*F12</f>
        <v>420000</v>
      </c>
      <c r="I12" s="111" t="s">
        <v>141</v>
      </c>
      <c r="K12" s="85" t="s">
        <v>498</v>
      </c>
      <c r="L12" s="92">
        <f>SUM(H7:H10)+SUM(H12:H13)</f>
        <v>6378772</v>
      </c>
    </row>
    <row r="13" spans="2:15" ht="23.25" customHeight="1" x14ac:dyDescent="0.2">
      <c r="B13" s="95"/>
      <c r="C13" s="481"/>
      <c r="D13" s="21" t="s">
        <v>496</v>
      </c>
      <c r="E13" s="22">
        <v>6900</v>
      </c>
      <c r="F13" s="21">
        <v>17</v>
      </c>
      <c r="G13" s="23" t="s">
        <v>21</v>
      </c>
      <c r="H13" s="22">
        <f>E13*F13</f>
        <v>117300</v>
      </c>
      <c r="I13" s="111" t="str">
        <f>"鋼材損料"&amp;K17&amp;"（=10%×(7日／30日))％、17丁、＠300,000"</f>
        <v>鋼材損料2.3（=10%×(7日／30日))％、17丁、＠300,000</v>
      </c>
      <c r="K13" s="91" t="s">
        <v>134</v>
      </c>
      <c r="L13" s="92">
        <f>H16</f>
        <v>2422000</v>
      </c>
    </row>
    <row r="14" spans="2:15" ht="23.25" customHeight="1" thickBot="1" x14ac:dyDescent="0.25">
      <c r="B14" s="94" t="s">
        <v>10</v>
      </c>
      <c r="C14" s="53"/>
      <c r="D14" s="53"/>
      <c r="E14" s="55"/>
      <c r="F14" s="53"/>
      <c r="G14" s="56"/>
      <c r="H14" s="55">
        <f>SUM(H12:H13)</f>
        <v>537300</v>
      </c>
      <c r="I14" s="248"/>
      <c r="K14" s="91" t="s">
        <v>135</v>
      </c>
      <c r="L14" s="92">
        <f>H17</f>
        <v>8990000</v>
      </c>
    </row>
    <row r="15" spans="2:15" ht="23.25" customHeight="1" x14ac:dyDescent="0.2">
      <c r="B15" s="524" t="s">
        <v>497</v>
      </c>
      <c r="C15" s="525"/>
      <c r="D15" s="525"/>
      <c r="E15" s="525"/>
      <c r="F15" s="525"/>
      <c r="G15" s="526"/>
      <c r="H15" s="45">
        <f>H11+H14</f>
        <v>6576372</v>
      </c>
      <c r="I15" s="112"/>
      <c r="K15" s="91" t="s">
        <v>136</v>
      </c>
      <c r="L15" s="84">
        <f>H18</f>
        <v>899000</v>
      </c>
    </row>
    <row r="16" spans="2:15" ht="23.25" customHeight="1" x14ac:dyDescent="0.2">
      <c r="B16" s="489" t="s">
        <v>109</v>
      </c>
      <c r="C16" s="484"/>
      <c r="D16" s="484"/>
      <c r="E16" s="484"/>
      <c r="F16" s="484"/>
      <c r="G16" s="485"/>
      <c r="H16" s="22">
        <f>ROUNDDOWN(H15*単価!E7/100,-3)-'R5交付金事業計画'!K23</f>
        <v>2422000</v>
      </c>
      <c r="I16" s="46" t="str">
        <f>"諸経費率"&amp;単価!E7&amp;"％以内（純調査費×"&amp;単価!E7&amp;"%）、1,000円未満切捨"</f>
        <v>諸経費率48.4％以内（純調査費×48.4%）、1,000円未満切捨</v>
      </c>
      <c r="K16" s="91" t="s">
        <v>133</v>
      </c>
      <c r="L16" s="92">
        <f>H19</f>
        <v>9889000</v>
      </c>
      <c r="M16" s="72"/>
      <c r="N16" s="5"/>
      <c r="O16" s="5"/>
    </row>
    <row r="17" spans="2:15" ht="23.25" customHeight="1" x14ac:dyDescent="0.2">
      <c r="B17" s="489" t="s">
        <v>24</v>
      </c>
      <c r="C17" s="484"/>
      <c r="D17" s="484"/>
      <c r="E17" s="484"/>
      <c r="F17" s="484"/>
      <c r="G17" s="485"/>
      <c r="H17" s="22">
        <f>ROUNDDOWN(H15+H16,-4)</f>
        <v>8990000</v>
      </c>
      <c r="I17" s="46" t="s">
        <v>131</v>
      </c>
      <c r="K17" s="75">
        <f>ROUNDDOWN(単価!E13*7/30,1)</f>
        <v>2.2999999999999998</v>
      </c>
      <c r="L17" s="93"/>
      <c r="M17" s="73"/>
      <c r="N17" s="74"/>
      <c r="O17" s="26"/>
    </row>
    <row r="18" spans="2:15" ht="23.25" customHeight="1" x14ac:dyDescent="0.2">
      <c r="B18" s="489" t="s">
        <v>13</v>
      </c>
      <c r="C18" s="484"/>
      <c r="D18" s="484"/>
      <c r="E18" s="484"/>
      <c r="F18" s="484"/>
      <c r="G18" s="485"/>
      <c r="H18" s="22">
        <f>H17*0.1</f>
        <v>899000</v>
      </c>
      <c r="I18" s="249">
        <v>0.1</v>
      </c>
      <c r="M18" s="73"/>
      <c r="N18" s="74"/>
      <c r="O18" s="76"/>
    </row>
    <row r="19" spans="2:15" ht="23.25" customHeight="1" thickBot="1" x14ac:dyDescent="0.25">
      <c r="B19" s="490" t="s">
        <v>20</v>
      </c>
      <c r="C19" s="491"/>
      <c r="D19" s="491"/>
      <c r="E19" s="491"/>
      <c r="F19" s="491"/>
      <c r="G19" s="492"/>
      <c r="H19" s="218">
        <f>SUM(H17:H18)</f>
        <v>9889000</v>
      </c>
      <c r="I19" s="250"/>
    </row>
    <row r="20" spans="2:15" x14ac:dyDescent="0.2">
      <c r="B20" s="238" t="str">
        <f>"※"&amp;単価!G2&amp;"参照"</f>
        <v>※P120-「令和５年度設計業務委託等技術者単価」抜粋／土木工事単価資料【土木工事編】【業務委託編】令和４年度（３月改訂版）参照</v>
      </c>
    </row>
    <row r="21" spans="2:15" ht="15.75" customHeight="1" x14ac:dyDescent="0.2">
      <c r="B21" s="25" t="str">
        <f>"※"&amp;単価!G9&amp;"参照"</f>
        <v>※P33-「表１－１　諸経費率標準値／第１章地質調査積算基準」／令和４年度版治山林道必携　調査・測量・設計編参照</v>
      </c>
      <c r="K21" s="4"/>
    </row>
    <row r="22" spans="2:15" x14ac:dyDescent="0.2">
      <c r="B22" t="str">
        <f>"※"&amp;単価!G13&amp;"参照"</f>
        <v>※P601-「鋼材／（３）仮設材の損料率　表２．１　土留、仮締切、築島、仮橋等の材料損料率／第８　仮施工」／令和４年度版治山林道必携　積算・施工編【上巻】参照</v>
      </c>
    </row>
    <row r="24" spans="2:15" x14ac:dyDescent="0.2">
      <c r="B24" s="13"/>
    </row>
    <row r="29" spans="2:15" x14ac:dyDescent="0.2">
      <c r="C29" t="s">
        <v>14</v>
      </c>
      <c r="D29" s="6" t="str">
        <f>IF(H16&lt;D34,"○")</f>
        <v>○</v>
      </c>
      <c r="G29"/>
      <c r="H29"/>
    </row>
    <row r="30" spans="2:15" x14ac:dyDescent="0.2">
      <c r="B30" s="9" t="s">
        <v>110</v>
      </c>
      <c r="C30" t="s">
        <v>15</v>
      </c>
      <c r="D30" s="7">
        <f>ROUND(D32*D31^D33,1)</f>
        <v>48.4</v>
      </c>
      <c r="E30"/>
      <c r="F30" t="s">
        <v>118</v>
      </c>
      <c r="G30"/>
      <c r="H30" s="51">
        <f>ROUNDDOWN(D30*H15/100,-3)</f>
        <v>3182000</v>
      </c>
      <c r="L30" s="4"/>
    </row>
    <row r="31" spans="2:15" x14ac:dyDescent="0.2">
      <c r="B31" s="9" t="s">
        <v>16</v>
      </c>
      <c r="C31" t="s">
        <v>17</v>
      </c>
      <c r="D31" s="6">
        <f>H15</f>
        <v>6576372</v>
      </c>
      <c r="E31"/>
      <c r="F31" t="s">
        <v>123</v>
      </c>
      <c r="H31" s="4">
        <f>(H30+H15)*1.1</f>
        <v>10734209.200000001</v>
      </c>
    </row>
    <row r="32" spans="2:15" x14ac:dyDescent="0.2">
      <c r="C32" t="s">
        <v>32</v>
      </c>
      <c r="D32" s="8">
        <v>285.3</v>
      </c>
      <c r="E32"/>
      <c r="F32" t="s">
        <v>119</v>
      </c>
      <c r="H32">
        <f>ROUNDDOWN((H30+H15),-4)*1.1-10000000</f>
        <v>725000</v>
      </c>
    </row>
    <row r="33" spans="2:8" x14ac:dyDescent="0.2">
      <c r="C33" t="s">
        <v>33</v>
      </c>
      <c r="D33" s="11">
        <v>-0.113</v>
      </c>
      <c r="E33"/>
      <c r="G33"/>
      <c r="H33"/>
    </row>
    <row r="34" spans="2:8" x14ac:dyDescent="0.2">
      <c r="C34" t="s">
        <v>18</v>
      </c>
      <c r="D34" s="6">
        <f>D31*(D30/100)</f>
        <v>3182964.048</v>
      </c>
      <c r="E34"/>
      <c r="G34"/>
      <c r="H34"/>
    </row>
    <row r="35" spans="2:8" x14ac:dyDescent="0.2">
      <c r="B35" s="4"/>
      <c r="D35" s="8"/>
      <c r="E35"/>
      <c r="G35"/>
      <c r="H35"/>
    </row>
  </sheetData>
  <mergeCells count="12">
    <mergeCell ref="K3:L3"/>
    <mergeCell ref="B4:F4"/>
    <mergeCell ref="C5:C6"/>
    <mergeCell ref="I5:I6"/>
    <mergeCell ref="C7:C10"/>
    <mergeCell ref="K10:L10"/>
    <mergeCell ref="B19:G19"/>
    <mergeCell ref="C12:C13"/>
    <mergeCell ref="B15:G15"/>
    <mergeCell ref="B16:G16"/>
    <mergeCell ref="B17:G17"/>
    <mergeCell ref="B18:G18"/>
  </mergeCells>
  <phoneticPr fontId="7"/>
  <pageMargins left="0.7" right="0.7" top="0.75" bottom="0.75" header="0.3" footer="0.3"/>
  <pageSetup paperSize="9"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B2:I22"/>
  <sheetViews>
    <sheetView workbookViewId="0"/>
  </sheetViews>
  <sheetFormatPr defaultRowHeight="13" x14ac:dyDescent="0.2"/>
  <cols>
    <col min="1" max="1" width="1.6328125" customWidth="1"/>
    <col min="2" max="2" width="20.08984375" customWidth="1"/>
    <col min="3" max="3" width="16.36328125" customWidth="1"/>
    <col min="4" max="4" width="9.90625" style="4" bestFit="1" customWidth="1"/>
    <col min="5" max="5" width="6" bestFit="1" customWidth="1"/>
    <col min="6" max="6" width="6.08984375" style="5" customWidth="1"/>
    <col min="7" max="8" width="10.90625" style="4" customWidth="1"/>
    <col min="9" max="9" width="57.453125" customWidth="1"/>
    <col min="10" max="10" width="1.90625" customWidth="1"/>
    <col min="11" max="11" width="11.08984375" bestFit="1" customWidth="1"/>
  </cols>
  <sheetData>
    <row r="2" spans="2:9" s="1" customFormat="1" ht="16.5" x14ac:dyDescent="0.2">
      <c r="B2" s="1" t="s">
        <v>126</v>
      </c>
      <c r="D2" s="2"/>
      <c r="F2" s="3"/>
      <c r="G2" s="2"/>
      <c r="H2" s="2"/>
    </row>
    <row r="3" spans="2:9" ht="13.5" thickBot="1" x14ac:dyDescent="0.25">
      <c r="I3" s="9"/>
    </row>
    <row r="4" spans="2:9" s="5" customFormat="1" x14ac:dyDescent="0.2">
      <c r="B4" s="62" t="s">
        <v>40</v>
      </c>
      <c r="C4" s="63" t="s">
        <v>1</v>
      </c>
      <c r="D4" s="64" t="s">
        <v>2</v>
      </c>
      <c r="E4" s="63" t="s">
        <v>3</v>
      </c>
      <c r="F4" s="63" t="s">
        <v>4</v>
      </c>
      <c r="G4" s="64" t="s">
        <v>5</v>
      </c>
      <c r="H4" s="538" t="s">
        <v>6</v>
      </c>
      <c r="I4" s="539"/>
    </row>
    <row r="5" spans="2:9" x14ac:dyDescent="0.2">
      <c r="B5" s="535" t="s">
        <v>54</v>
      </c>
      <c r="C5" s="65" t="s">
        <v>55</v>
      </c>
      <c r="D5" s="22">
        <v>11200</v>
      </c>
      <c r="E5" s="21">
        <v>6</v>
      </c>
      <c r="F5" s="71" t="s">
        <v>65</v>
      </c>
      <c r="G5" s="66">
        <f>D5*E5</f>
        <v>67200</v>
      </c>
      <c r="H5" s="540" t="s">
        <v>185</v>
      </c>
      <c r="I5" s="541"/>
    </row>
    <row r="6" spans="2:9" x14ac:dyDescent="0.2">
      <c r="B6" s="472"/>
      <c r="C6" s="65" t="s">
        <v>41</v>
      </c>
      <c r="D6" s="66">
        <f>D20</f>
        <v>12890</v>
      </c>
      <c r="E6" s="65">
        <v>46</v>
      </c>
      <c r="F6" s="71" t="s">
        <v>22</v>
      </c>
      <c r="G6" s="66">
        <f>D6*E6</f>
        <v>592940</v>
      </c>
      <c r="H6" s="542" t="s">
        <v>145</v>
      </c>
      <c r="I6" s="543"/>
    </row>
    <row r="7" spans="2:9" x14ac:dyDescent="0.2">
      <c r="B7" s="472"/>
      <c r="C7" s="65" t="s">
        <v>42</v>
      </c>
      <c r="D7" s="66">
        <v>4000</v>
      </c>
      <c r="E7" s="65">
        <v>101</v>
      </c>
      <c r="F7" s="71" t="s">
        <v>43</v>
      </c>
      <c r="G7" s="66">
        <f>D7*E7</f>
        <v>404000</v>
      </c>
      <c r="H7" s="544"/>
      <c r="I7" s="545"/>
    </row>
    <row r="8" spans="2:9" x14ac:dyDescent="0.2">
      <c r="B8" s="536"/>
      <c r="C8" s="65" t="s">
        <v>10</v>
      </c>
      <c r="D8" s="66"/>
      <c r="E8" s="65"/>
      <c r="F8" s="71"/>
      <c r="G8" s="66">
        <f>SUM(G5:G7)</f>
        <v>1064140</v>
      </c>
      <c r="H8" s="544"/>
      <c r="I8" s="545"/>
    </row>
    <row r="9" spans="2:9" x14ac:dyDescent="0.2">
      <c r="I9" s="33"/>
    </row>
    <row r="10" spans="2:9" x14ac:dyDescent="0.2">
      <c r="I10" s="33"/>
    </row>
    <row r="11" spans="2:9" x14ac:dyDescent="0.2">
      <c r="B11" t="s">
        <v>56</v>
      </c>
      <c r="D11" s="82"/>
    </row>
    <row r="12" spans="2:9" x14ac:dyDescent="0.2">
      <c r="B12" s="386" t="s">
        <v>121</v>
      </c>
      <c r="C12" s="12" t="s">
        <v>120</v>
      </c>
      <c r="D12" s="12" t="s">
        <v>526</v>
      </c>
      <c r="E12" s="12" t="s">
        <v>45</v>
      </c>
      <c r="F12" s="12" t="s">
        <v>46</v>
      </c>
      <c r="G12" s="79" t="s">
        <v>47</v>
      </c>
      <c r="H12" s="80" t="s">
        <v>527</v>
      </c>
    </row>
    <row r="13" spans="2:9" x14ac:dyDescent="0.2">
      <c r="B13" s="388"/>
      <c r="C13" s="35" t="s">
        <v>111</v>
      </c>
      <c r="D13" s="34" t="s">
        <v>16</v>
      </c>
      <c r="E13" s="35" t="s">
        <v>112</v>
      </c>
      <c r="F13" s="35" t="s">
        <v>113</v>
      </c>
      <c r="G13" s="34" t="s">
        <v>114</v>
      </c>
      <c r="H13" s="42" t="s">
        <v>16</v>
      </c>
    </row>
    <row r="14" spans="2:9" x14ac:dyDescent="0.2">
      <c r="B14" s="65" t="s">
        <v>475</v>
      </c>
      <c r="C14" s="65">
        <f>100*2</f>
        <v>200</v>
      </c>
      <c r="D14" s="228">
        <f>単価!E6</f>
        <v>150</v>
      </c>
      <c r="E14" s="35">
        <v>10</v>
      </c>
      <c r="F14" s="35">
        <v>30</v>
      </c>
      <c r="G14" s="81">
        <f>ROUNDDOWN(C14/F14,2)</f>
        <v>6.66</v>
      </c>
      <c r="H14" s="36">
        <f>単価!E12</f>
        <v>527</v>
      </c>
    </row>
    <row r="15" spans="2:9" x14ac:dyDescent="0.2">
      <c r="B15" s="65" t="s">
        <v>474</v>
      </c>
      <c r="C15" s="65">
        <f>98*2</f>
        <v>196</v>
      </c>
      <c r="D15" s="228">
        <f>単価!E6</f>
        <v>150</v>
      </c>
      <c r="E15" s="35">
        <v>10</v>
      </c>
      <c r="F15" s="35">
        <v>30</v>
      </c>
      <c r="G15" s="81">
        <f>ROUNDDOWN(C15/F15,2)</f>
        <v>6.53</v>
      </c>
      <c r="H15" s="36">
        <f>単価!E12</f>
        <v>527</v>
      </c>
    </row>
    <row r="16" spans="2:9" x14ac:dyDescent="0.2">
      <c r="B16" s="322" t="str">
        <f>"※"&amp;単価!G6&amp;"参照"</f>
        <v>※P20-「ガソリン（委託用）レギュラー／3-1 03)燃料類」抜粋／土木工事単価資料【土木工事編】【業務委託編】令和４年度（３月改訂版）参照</v>
      </c>
      <c r="D16"/>
      <c r="F16"/>
      <c r="G16"/>
      <c r="H16"/>
    </row>
    <row r="17" spans="2:9" x14ac:dyDescent="0.2">
      <c r="B17" s="537" t="s">
        <v>57</v>
      </c>
      <c r="C17" s="537"/>
      <c r="D17" s="38" t="s">
        <v>115</v>
      </c>
      <c r="E17" s="43"/>
      <c r="G17" s="9"/>
      <c r="H17" s="9"/>
    </row>
    <row r="18" spans="2:9" x14ac:dyDescent="0.2">
      <c r="B18" s="39" t="s">
        <v>116</v>
      </c>
      <c r="C18" s="37"/>
      <c r="D18" s="226">
        <f>ROUNDDOWN(D15*C15/E15,0)+ROUNDDOWN(D14*C14/E14,0)</f>
        <v>5940</v>
      </c>
      <c r="E18" s="43"/>
      <c r="G18" s="9"/>
      <c r="H18" s="9"/>
    </row>
    <row r="19" spans="2:9" x14ac:dyDescent="0.2">
      <c r="B19" s="40" t="s">
        <v>52</v>
      </c>
      <c r="C19" s="41"/>
      <c r="D19" s="226">
        <f>ROUNDDOWN(G15*H15,0)+ROUNDDOWN(G14*H14,0)</f>
        <v>6950</v>
      </c>
      <c r="E19" s="43"/>
      <c r="G19"/>
      <c r="H19"/>
    </row>
    <row r="20" spans="2:9" x14ac:dyDescent="0.2">
      <c r="B20" s="527" t="s">
        <v>53</v>
      </c>
      <c r="C20" s="529"/>
      <c r="D20" s="226">
        <f>SUM(D18:D19)</f>
        <v>12890</v>
      </c>
      <c r="E20" s="43"/>
      <c r="I20" s="5"/>
    </row>
    <row r="21" spans="2:9" x14ac:dyDescent="0.2">
      <c r="G21"/>
      <c r="H21"/>
    </row>
    <row r="22" spans="2:9" x14ac:dyDescent="0.2">
      <c r="G22"/>
      <c r="H22"/>
    </row>
  </sheetData>
  <mergeCells count="9">
    <mergeCell ref="B12:B13"/>
    <mergeCell ref="B5:B8"/>
    <mergeCell ref="B17:C17"/>
    <mergeCell ref="B20:C20"/>
    <mergeCell ref="H4:I4"/>
    <mergeCell ref="H5:I5"/>
    <mergeCell ref="H6:I6"/>
    <mergeCell ref="H7:I7"/>
    <mergeCell ref="H8:I8"/>
  </mergeCells>
  <phoneticPr fontId="7"/>
  <pageMargins left="0.7" right="0.7" top="0.75" bottom="0.75" header="0.3" footer="0.3"/>
  <pageSetup paperSize="9" scale="9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7E3F-77B6-4B93-83F5-A31FBAEAF722}">
  <sheetPr>
    <pageSetUpPr fitToPage="1"/>
  </sheetPr>
  <dimension ref="B1:O26"/>
  <sheetViews>
    <sheetView workbookViewId="0"/>
  </sheetViews>
  <sheetFormatPr defaultColWidth="9" defaultRowHeight="13" x14ac:dyDescent="0.2"/>
  <cols>
    <col min="1" max="1" width="1.6328125" customWidth="1"/>
    <col min="2" max="2" width="12.90625" customWidth="1"/>
    <col min="3" max="3" width="17.6328125" customWidth="1"/>
    <col min="4" max="4" width="17.08984375" customWidth="1"/>
    <col min="5" max="5" width="9.90625" style="4" bestFit="1" customWidth="1"/>
    <col min="6" max="6" width="6" bestFit="1" customWidth="1"/>
    <col min="7" max="7" width="6.08984375" style="5" customWidth="1"/>
    <col min="8" max="8" width="13.6328125" style="4" bestFit="1" customWidth="1"/>
    <col min="9" max="9" width="53" customWidth="1"/>
    <col min="10" max="10" width="1.90625" customWidth="1"/>
    <col min="11" max="11" width="12.90625" customWidth="1"/>
    <col min="12" max="12" width="11.6328125" customWidth="1"/>
    <col min="13" max="13" width="1.6328125" customWidth="1"/>
    <col min="14" max="14" width="10.6328125" bestFit="1" customWidth="1"/>
    <col min="15" max="15" width="11.90625" customWidth="1"/>
  </cols>
  <sheetData>
    <row r="1" spans="2:15" s="1" customFormat="1" ht="25.5" customHeight="1" x14ac:dyDescent="0.2">
      <c r="B1" s="28" t="s">
        <v>147</v>
      </c>
      <c r="E1" s="2"/>
      <c r="G1" s="13"/>
      <c r="H1" s="2"/>
      <c r="N1" s="5"/>
      <c r="O1" s="5"/>
    </row>
    <row r="2" spans="2:15" ht="13.5" thickBot="1" x14ac:dyDescent="0.25">
      <c r="I2" s="9"/>
    </row>
    <row r="3" spans="2:15" s="5" customFormat="1" ht="23.25" customHeight="1" x14ac:dyDescent="0.2">
      <c r="B3" s="17" t="s">
        <v>0</v>
      </c>
      <c r="C3" s="18" t="s">
        <v>36</v>
      </c>
      <c r="D3" s="18" t="s">
        <v>1</v>
      </c>
      <c r="E3" s="19" t="s">
        <v>2</v>
      </c>
      <c r="F3" s="18" t="s">
        <v>3</v>
      </c>
      <c r="G3" s="18" t="s">
        <v>4</v>
      </c>
      <c r="H3" s="19" t="s">
        <v>5</v>
      </c>
      <c r="I3" s="20" t="s">
        <v>6</v>
      </c>
      <c r="J3" s="15"/>
      <c r="K3" s="24"/>
      <c r="L3" s="24"/>
      <c r="M3" s="24"/>
      <c r="N3"/>
    </row>
    <row r="4" spans="2:15" ht="27.65" customHeight="1" x14ac:dyDescent="0.2">
      <c r="B4" s="96" t="s">
        <v>148</v>
      </c>
      <c r="C4" s="113" t="s">
        <v>163</v>
      </c>
      <c r="D4" s="44" t="s">
        <v>164</v>
      </c>
      <c r="E4" s="22">
        <v>9000</v>
      </c>
      <c r="F4" s="21">
        <v>680</v>
      </c>
      <c r="G4" s="23" t="s">
        <v>43</v>
      </c>
      <c r="H4" s="22">
        <f>+E4*F4</f>
        <v>6120000</v>
      </c>
      <c r="I4" s="70" t="s">
        <v>162</v>
      </c>
      <c r="J4" s="13"/>
      <c r="M4" s="48"/>
      <c r="N4" s="10"/>
    </row>
    <row r="5" spans="2:15" ht="27.65" customHeight="1" x14ac:dyDescent="0.2">
      <c r="B5" s="100"/>
      <c r="C5" s="101" t="s">
        <v>152</v>
      </c>
      <c r="D5" s="102"/>
      <c r="E5" s="103"/>
      <c r="F5" s="104"/>
      <c r="G5" s="105"/>
      <c r="H5" s="22">
        <f>SUM(H4:H4)</f>
        <v>6120000</v>
      </c>
      <c r="I5" s="106"/>
      <c r="J5" s="13"/>
      <c r="K5" s="548" t="s">
        <v>38</v>
      </c>
      <c r="L5" s="549"/>
      <c r="M5" s="14"/>
    </row>
    <row r="6" spans="2:15" ht="27.65" customHeight="1" x14ac:dyDescent="0.2">
      <c r="B6" s="550" t="s">
        <v>153</v>
      </c>
      <c r="C6" s="552" t="s">
        <v>154</v>
      </c>
      <c r="D6" s="107" t="s">
        <v>174</v>
      </c>
      <c r="E6" s="14">
        <v>10000</v>
      </c>
      <c r="F6" s="108">
        <v>10</v>
      </c>
      <c r="G6" s="109" t="s">
        <v>68</v>
      </c>
      <c r="H6" s="22">
        <f>+E6*F6</f>
        <v>100000</v>
      </c>
      <c r="I6" s="89" t="s">
        <v>175</v>
      </c>
      <c r="J6" s="13"/>
      <c r="K6" s="49" t="s">
        <v>148</v>
      </c>
      <c r="L6" s="22">
        <f>H5</f>
        <v>6120000</v>
      </c>
      <c r="M6" s="14"/>
    </row>
    <row r="7" spans="2:15" ht="27.65" customHeight="1" x14ac:dyDescent="0.2">
      <c r="B7" s="551"/>
      <c r="C7" s="553"/>
      <c r="D7" s="44" t="s">
        <v>69</v>
      </c>
      <c r="E7" s="22">
        <v>6000</v>
      </c>
      <c r="F7" s="21">
        <v>5</v>
      </c>
      <c r="G7" s="23" t="s">
        <v>66</v>
      </c>
      <c r="H7" s="22">
        <f>+E7*F7</f>
        <v>30000</v>
      </c>
      <c r="I7" s="88"/>
      <c r="J7" s="13"/>
      <c r="K7" s="49" t="s">
        <v>151</v>
      </c>
      <c r="L7" s="22">
        <f>H9</f>
        <v>205000</v>
      </c>
      <c r="M7" s="14"/>
    </row>
    <row r="8" spans="2:15" ht="27.65" customHeight="1" x14ac:dyDescent="0.2">
      <c r="B8" s="551"/>
      <c r="C8" s="554"/>
      <c r="D8" s="44" t="s">
        <v>70</v>
      </c>
      <c r="E8" s="22">
        <v>15000</v>
      </c>
      <c r="F8" s="21">
        <v>5</v>
      </c>
      <c r="G8" s="23" t="s">
        <v>66</v>
      </c>
      <c r="H8" s="22">
        <f>+E8*F8</f>
        <v>75000</v>
      </c>
      <c r="I8" s="88"/>
      <c r="J8" s="13"/>
      <c r="K8" s="49" t="s">
        <v>12</v>
      </c>
      <c r="L8" s="22">
        <f>H10</f>
        <v>102000</v>
      </c>
      <c r="M8" s="13"/>
    </row>
    <row r="9" spans="2:15" ht="27.65" customHeight="1" x14ac:dyDescent="0.2">
      <c r="B9" s="95"/>
      <c r="C9" s="104" t="s">
        <v>156</v>
      </c>
      <c r="D9" s="104"/>
      <c r="E9" s="103"/>
      <c r="F9" s="103"/>
      <c r="G9" s="105"/>
      <c r="H9" s="22">
        <f>SUM(H6:H8)</f>
        <v>205000</v>
      </c>
      <c r="I9" s="111"/>
      <c r="J9" s="13"/>
      <c r="K9" s="13"/>
      <c r="L9" s="24"/>
      <c r="M9" s="13"/>
    </row>
    <row r="10" spans="2:15" ht="27.65" customHeight="1" x14ac:dyDescent="0.2">
      <c r="B10" s="95"/>
      <c r="C10" s="104" t="s">
        <v>12</v>
      </c>
      <c r="D10" s="104"/>
      <c r="E10" s="104"/>
      <c r="F10" s="104"/>
      <c r="G10" s="280"/>
      <c r="H10" s="22">
        <f>ROUNDDOWN((H9)*0.5,-3)</f>
        <v>102000</v>
      </c>
      <c r="I10" s="46" t="str">
        <f>D21&amp;"%以内　"&amp;"※②が対象、1,000円未満切捨"</f>
        <v>50%以内　※②が対象、1,000円未満切捨</v>
      </c>
      <c r="J10" s="13"/>
      <c r="K10" s="14"/>
      <c r="L10" s="13"/>
      <c r="M10" s="24"/>
    </row>
    <row r="11" spans="2:15" ht="27.65" customHeight="1" x14ac:dyDescent="0.2">
      <c r="B11" s="95"/>
      <c r="C11" s="104" t="s">
        <v>172</v>
      </c>
      <c r="D11" s="104"/>
      <c r="E11" s="104"/>
      <c r="F11" s="104"/>
      <c r="G11" s="280"/>
      <c r="H11" s="22">
        <f>ROUNDDOWN(SUM(H9:H10),-4)</f>
        <v>300000</v>
      </c>
      <c r="I11" s="77" t="s">
        <v>131</v>
      </c>
      <c r="J11" s="13"/>
    </row>
    <row r="12" spans="2:15" ht="27.65" customHeight="1" x14ac:dyDescent="0.2">
      <c r="B12" s="95"/>
      <c r="C12" s="281" t="s">
        <v>13</v>
      </c>
      <c r="D12" s="104"/>
      <c r="E12" s="104"/>
      <c r="F12" s="104"/>
      <c r="G12" s="280"/>
      <c r="H12" s="22">
        <f>ROUNDDOWN(H11*0.1,0)</f>
        <v>30000</v>
      </c>
      <c r="I12" s="282"/>
      <c r="J12" s="13"/>
    </row>
    <row r="13" spans="2:15" ht="27.65" customHeight="1" thickBot="1" x14ac:dyDescent="0.25">
      <c r="B13" s="283"/>
      <c r="C13" s="284" t="s">
        <v>173</v>
      </c>
      <c r="D13" s="284"/>
      <c r="E13" s="284"/>
      <c r="F13" s="284"/>
      <c r="G13" s="285"/>
      <c r="H13" s="30">
        <f>H11+H12</f>
        <v>330000</v>
      </c>
      <c r="I13" s="286"/>
      <c r="J13" s="13"/>
    </row>
    <row r="14" spans="2:15" ht="27.65" customHeight="1" thickBot="1" x14ac:dyDescent="0.25">
      <c r="B14" s="546" t="s">
        <v>20</v>
      </c>
      <c r="C14" s="547"/>
      <c r="D14" s="547"/>
      <c r="E14" s="547"/>
      <c r="F14" s="547"/>
      <c r="G14" s="547"/>
      <c r="H14" s="30">
        <f>H5+H13</f>
        <v>6450000</v>
      </c>
      <c r="I14" s="272"/>
      <c r="J14" s="13"/>
    </row>
    <row r="15" spans="2:15" ht="21.75" customHeight="1" x14ac:dyDescent="0.2">
      <c r="B15" s="13"/>
      <c r="J15" s="13"/>
    </row>
    <row r="16" spans="2:15" ht="21.75" customHeight="1" x14ac:dyDescent="0.2">
      <c r="B16" s="13"/>
      <c r="J16" s="13"/>
      <c r="L16" s="4"/>
    </row>
    <row r="17" spans="2:13" ht="21.75" customHeight="1" x14ac:dyDescent="0.2">
      <c r="B17" s="13"/>
      <c r="M17" s="4"/>
    </row>
    <row r="18" spans="2:13" ht="21.75" customHeight="1" x14ac:dyDescent="0.2">
      <c r="B18" s="13"/>
      <c r="H18" s="4">
        <f>'R5交付金事業計画'!C29</f>
        <v>6500000</v>
      </c>
    </row>
    <row r="19" spans="2:13" ht="19.5" customHeight="1" x14ac:dyDescent="0.2">
      <c r="G19" s="287" t="s">
        <v>437</v>
      </c>
      <c r="H19" s="4">
        <f>H14</f>
        <v>6450000</v>
      </c>
    </row>
    <row r="20" spans="2:13" ht="19.5" customHeight="1" x14ac:dyDescent="0.2">
      <c r="C20" t="s">
        <v>14</v>
      </c>
      <c r="D20" s="6" t="e">
        <f>IF(H10&lt;D25,"○")</f>
        <v>#REF!</v>
      </c>
      <c r="G20" s="13" t="s">
        <v>153</v>
      </c>
      <c r="H20" s="4">
        <f>'カ_【ジビエ】捕獲府事務費 _8P'!G8</f>
        <v>50000</v>
      </c>
    </row>
    <row r="21" spans="2:13" ht="19.5" customHeight="1" x14ac:dyDescent="0.2">
      <c r="B21" s="9" t="s">
        <v>31</v>
      </c>
      <c r="C21" t="s">
        <v>15</v>
      </c>
      <c r="D21" s="7">
        <v>50</v>
      </c>
      <c r="E21"/>
      <c r="G21" s="13"/>
      <c r="H21" s="4">
        <f>H18-H19-H20</f>
        <v>0</v>
      </c>
    </row>
    <row r="22" spans="2:13" ht="19.5" customHeight="1" x14ac:dyDescent="0.2">
      <c r="B22" s="9" t="s">
        <v>16</v>
      </c>
      <c r="C22" t="s">
        <v>17</v>
      </c>
      <c r="D22" s="6" t="e">
        <f>SUM(#REF!)</f>
        <v>#REF!</v>
      </c>
      <c r="E22"/>
      <c r="G22" s="13"/>
    </row>
    <row r="23" spans="2:13" x14ac:dyDescent="0.2">
      <c r="C23" t="s">
        <v>32</v>
      </c>
      <c r="D23" s="8">
        <v>335.58</v>
      </c>
      <c r="E23"/>
    </row>
    <row r="24" spans="2:13" x14ac:dyDescent="0.2">
      <c r="C24" t="s">
        <v>33</v>
      </c>
      <c r="D24" s="11">
        <v>-0.13500000000000001</v>
      </c>
      <c r="E24"/>
    </row>
    <row r="25" spans="2:13" x14ac:dyDescent="0.2">
      <c r="C25" t="s">
        <v>18</v>
      </c>
      <c r="D25" s="6" t="e">
        <f>D22*(D21/100)</f>
        <v>#REF!</v>
      </c>
      <c r="E25"/>
    </row>
    <row r="26" spans="2:13" x14ac:dyDescent="0.2">
      <c r="B26" s="4"/>
      <c r="C26" t="s">
        <v>19</v>
      </c>
      <c r="D26" s="8" t="e">
        <f>H10*100/D22</f>
        <v>#REF!</v>
      </c>
      <c r="E26"/>
    </row>
  </sheetData>
  <mergeCells count="4">
    <mergeCell ref="B14:G14"/>
    <mergeCell ref="K5:L5"/>
    <mergeCell ref="B6:B8"/>
    <mergeCell ref="C6:C8"/>
  </mergeCells>
  <phoneticPr fontId="7"/>
  <pageMargins left="0.6692913385826772" right="0.19685039370078741" top="1.1023622047244095" bottom="0.98425196850393704"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52A4E-363D-436D-BD17-48C5D355684D}">
  <sheetPr>
    <pageSetUpPr fitToPage="1"/>
  </sheetPr>
  <dimension ref="B1:O27"/>
  <sheetViews>
    <sheetView workbookViewId="0"/>
  </sheetViews>
  <sheetFormatPr defaultRowHeight="13" x14ac:dyDescent="0.2"/>
  <cols>
    <col min="1" max="1" width="1.6328125" customWidth="1"/>
    <col min="2" max="2" width="12.90625" customWidth="1"/>
    <col min="3" max="3" width="17.6328125" customWidth="1"/>
    <col min="4" max="4" width="11.6328125" customWidth="1"/>
    <col min="5" max="5" width="9.90625" style="4" bestFit="1" customWidth="1"/>
    <col min="6" max="6" width="6" bestFit="1" customWidth="1"/>
    <col min="7" max="7" width="6.08984375" style="5" customWidth="1"/>
    <col min="8" max="8" width="13.6328125" style="4" bestFit="1" customWidth="1"/>
    <col min="9" max="9" width="53" customWidth="1"/>
    <col min="10" max="10" width="1.90625" customWidth="1"/>
    <col min="11" max="11" width="12.90625" customWidth="1"/>
    <col min="12" max="12" width="11.6328125" customWidth="1"/>
    <col min="13" max="13" width="1.6328125" customWidth="1"/>
    <col min="14" max="14" width="10.6328125" bestFit="1" customWidth="1"/>
    <col min="15" max="15" width="11.90625" customWidth="1"/>
  </cols>
  <sheetData>
    <row r="1" spans="2:15" s="1" customFormat="1" ht="25.5" customHeight="1" x14ac:dyDescent="0.2">
      <c r="B1" s="28" t="s">
        <v>147</v>
      </c>
      <c r="E1" s="2"/>
      <c r="G1" s="3"/>
      <c r="H1" s="2"/>
      <c r="N1" s="5"/>
      <c r="O1" s="5"/>
    </row>
    <row r="2" spans="2:15" ht="13.5" thickBot="1" x14ac:dyDescent="0.25">
      <c r="I2" s="9"/>
    </row>
    <row r="3" spans="2:15" s="5" customFormat="1" ht="23.25" customHeight="1" x14ac:dyDescent="0.2">
      <c r="B3" s="17" t="s">
        <v>0</v>
      </c>
      <c r="C3" s="18" t="s">
        <v>36</v>
      </c>
      <c r="D3" s="18" t="s">
        <v>1</v>
      </c>
      <c r="E3" s="19" t="s">
        <v>2</v>
      </c>
      <c r="F3" s="18" t="s">
        <v>3</v>
      </c>
      <c r="G3" s="18" t="s">
        <v>4</v>
      </c>
      <c r="H3" s="19" t="s">
        <v>5</v>
      </c>
      <c r="I3" s="20" t="s">
        <v>6</v>
      </c>
      <c r="J3" s="15"/>
      <c r="K3" s="24"/>
      <c r="L3" s="24"/>
      <c r="M3" s="24"/>
      <c r="N3"/>
    </row>
    <row r="4" spans="2:15" ht="30.75" customHeight="1" x14ac:dyDescent="0.2">
      <c r="B4" s="96" t="s">
        <v>148</v>
      </c>
      <c r="C4" s="113" t="s">
        <v>149</v>
      </c>
      <c r="D4" s="44" t="s">
        <v>150</v>
      </c>
      <c r="E4" s="22">
        <v>5400</v>
      </c>
      <c r="F4" s="21">
        <v>423</v>
      </c>
      <c r="G4" s="23" t="s">
        <v>43</v>
      </c>
      <c r="H4" s="22">
        <f t="shared" ref="H4:H9" si="0">+E4*F4</f>
        <v>2284200</v>
      </c>
      <c r="I4" s="70" t="s">
        <v>159</v>
      </c>
      <c r="J4" s="13"/>
      <c r="K4" s="548" t="s">
        <v>38</v>
      </c>
      <c r="L4" s="549"/>
      <c r="M4" s="48"/>
      <c r="N4" s="10"/>
    </row>
    <row r="5" spans="2:15" ht="30.75" customHeight="1" x14ac:dyDescent="0.2">
      <c r="B5" s="97"/>
      <c r="C5" s="114"/>
      <c r="D5" s="98" t="s">
        <v>150</v>
      </c>
      <c r="E5" s="22">
        <v>5400</v>
      </c>
      <c r="F5" s="53">
        <v>125</v>
      </c>
      <c r="G5" s="56" t="s">
        <v>43</v>
      </c>
      <c r="H5" s="22">
        <f t="shared" si="0"/>
        <v>675000</v>
      </c>
      <c r="I5" s="70" t="s">
        <v>160</v>
      </c>
      <c r="J5" s="13"/>
      <c r="K5" s="99" t="s">
        <v>148</v>
      </c>
      <c r="L5" s="22">
        <f>H6</f>
        <v>2959200</v>
      </c>
      <c r="M5" s="14"/>
      <c r="N5" s="4"/>
    </row>
    <row r="6" spans="2:15" ht="30.75" customHeight="1" x14ac:dyDescent="0.2">
      <c r="B6" s="100"/>
      <c r="C6" s="101" t="s">
        <v>152</v>
      </c>
      <c r="D6" s="102"/>
      <c r="E6" s="103"/>
      <c r="F6" s="104"/>
      <c r="G6" s="105"/>
      <c r="H6" s="22">
        <f>SUM(H4:H5)</f>
        <v>2959200</v>
      </c>
      <c r="I6" s="106"/>
      <c r="J6" s="13"/>
      <c r="K6" s="49" t="s">
        <v>151</v>
      </c>
      <c r="L6" s="22">
        <f>H10</f>
        <v>180000</v>
      </c>
      <c r="M6" s="14"/>
    </row>
    <row r="7" spans="2:15" ht="30.75" customHeight="1" x14ac:dyDescent="0.2">
      <c r="B7" s="555" t="s">
        <v>153</v>
      </c>
      <c r="C7" s="552" t="s">
        <v>154</v>
      </c>
      <c r="D7" s="107" t="s">
        <v>155</v>
      </c>
      <c r="E7" s="14">
        <v>10000</v>
      </c>
      <c r="F7" s="108">
        <v>8</v>
      </c>
      <c r="G7" s="109" t="s">
        <v>68</v>
      </c>
      <c r="H7" s="22">
        <f t="shared" si="0"/>
        <v>80000</v>
      </c>
      <c r="I7" s="89" t="s">
        <v>161</v>
      </c>
      <c r="J7" s="13"/>
      <c r="K7" s="49" t="s">
        <v>12</v>
      </c>
      <c r="L7" s="22">
        <f>H12</f>
        <v>1569000</v>
      </c>
      <c r="M7" s="14"/>
    </row>
    <row r="8" spans="2:15" ht="30.75" customHeight="1" x14ac:dyDescent="0.2">
      <c r="B8" s="556"/>
      <c r="C8" s="553"/>
      <c r="D8" s="44" t="s">
        <v>69</v>
      </c>
      <c r="E8" s="22">
        <v>5000</v>
      </c>
      <c r="F8" s="21">
        <v>4</v>
      </c>
      <c r="G8" s="23" t="s">
        <v>66</v>
      </c>
      <c r="H8" s="22">
        <f t="shared" si="0"/>
        <v>20000</v>
      </c>
      <c r="I8" s="88"/>
      <c r="J8" s="13"/>
      <c r="K8" s="13"/>
      <c r="L8" s="13"/>
      <c r="M8" s="14"/>
    </row>
    <row r="9" spans="2:15" ht="30.75" customHeight="1" x14ac:dyDescent="0.2">
      <c r="B9" s="556"/>
      <c r="C9" s="554"/>
      <c r="D9" s="44" t="s">
        <v>70</v>
      </c>
      <c r="E9" s="22">
        <v>20000</v>
      </c>
      <c r="F9" s="21">
        <v>4</v>
      </c>
      <c r="G9" s="23" t="s">
        <v>66</v>
      </c>
      <c r="H9" s="22">
        <f t="shared" si="0"/>
        <v>80000</v>
      </c>
      <c r="I9" s="88"/>
      <c r="J9" s="13"/>
      <c r="K9" s="13"/>
      <c r="L9" s="13"/>
      <c r="M9" s="13"/>
    </row>
    <row r="10" spans="2:15" ht="30.75" customHeight="1" thickBot="1" x14ac:dyDescent="0.25">
      <c r="B10" s="110"/>
      <c r="C10" s="104" t="s">
        <v>156</v>
      </c>
      <c r="D10" s="104"/>
      <c r="E10" s="103"/>
      <c r="F10" s="103"/>
      <c r="G10" s="105"/>
      <c r="H10" s="22">
        <f>SUM(H7:H9)</f>
        <v>180000</v>
      </c>
      <c r="I10" s="111"/>
      <c r="J10" s="13"/>
      <c r="K10" s="13"/>
      <c r="L10" s="24"/>
      <c r="M10" s="13"/>
    </row>
    <row r="11" spans="2:15" ht="30.75" customHeight="1" x14ac:dyDescent="0.2">
      <c r="B11" s="524" t="s">
        <v>71</v>
      </c>
      <c r="C11" s="525"/>
      <c r="D11" s="525"/>
      <c r="E11" s="525"/>
      <c r="F11" s="525"/>
      <c r="G11" s="526"/>
      <c r="H11" s="45">
        <f>H6+H10</f>
        <v>3139200</v>
      </c>
      <c r="I11" s="112"/>
      <c r="J11" s="13"/>
      <c r="K11" s="13"/>
      <c r="L11" s="24"/>
      <c r="M11" s="24"/>
    </row>
    <row r="12" spans="2:15" ht="30.75" customHeight="1" x14ac:dyDescent="0.2">
      <c r="B12" s="489" t="s">
        <v>12</v>
      </c>
      <c r="C12" s="484"/>
      <c r="D12" s="484"/>
      <c r="E12" s="484"/>
      <c r="F12" s="484"/>
      <c r="G12" s="485"/>
      <c r="H12" s="22">
        <f>ROUNDDOWN(H11/2,-3)</f>
        <v>1569000</v>
      </c>
      <c r="I12" s="46" t="s">
        <v>170</v>
      </c>
      <c r="J12" s="13"/>
      <c r="K12" s="14"/>
      <c r="L12" s="13"/>
      <c r="M12" s="24"/>
    </row>
    <row r="13" spans="2:15" ht="30.75" customHeight="1" x14ac:dyDescent="0.2">
      <c r="B13" s="489" t="s">
        <v>24</v>
      </c>
      <c r="C13" s="484"/>
      <c r="D13" s="484"/>
      <c r="E13" s="484"/>
      <c r="F13" s="484"/>
      <c r="G13" s="485"/>
      <c r="H13" s="22">
        <f>ROUNDDOWN(SUM(H11:H12),-4)</f>
        <v>4700000</v>
      </c>
      <c r="I13" s="46" t="s">
        <v>171</v>
      </c>
      <c r="J13" s="13"/>
      <c r="M13" s="13"/>
    </row>
    <row r="14" spans="2:15" ht="28" customHeight="1" x14ac:dyDescent="0.2">
      <c r="B14" s="516" t="s">
        <v>157</v>
      </c>
      <c r="C14" s="516"/>
      <c r="D14" s="516"/>
      <c r="E14" s="516"/>
      <c r="F14" s="516"/>
      <c r="G14" s="516"/>
      <c r="H14" s="66">
        <f>ROUNDDOWN(H13*0.1,0)</f>
        <v>470000</v>
      </c>
      <c r="I14" s="65"/>
      <c r="J14" s="13"/>
    </row>
    <row r="15" spans="2:15" ht="23.25" customHeight="1" x14ac:dyDescent="0.2">
      <c r="B15" s="557" t="s">
        <v>158</v>
      </c>
      <c r="C15" s="557"/>
      <c r="D15" s="557"/>
      <c r="E15" s="557"/>
      <c r="F15" s="557"/>
      <c r="G15" s="557"/>
      <c r="H15" s="66">
        <f>H13+H14</f>
        <v>5170000</v>
      </c>
      <c r="I15" s="65"/>
      <c r="J15" s="13"/>
    </row>
    <row r="16" spans="2:15" ht="21.75" customHeight="1" x14ac:dyDescent="0.2">
      <c r="B16" s="13"/>
      <c r="J16" s="13"/>
    </row>
    <row r="17" spans="2:13" ht="21.75" customHeight="1" x14ac:dyDescent="0.2">
      <c r="B17" s="13"/>
      <c r="J17" s="13"/>
      <c r="L17" s="4"/>
    </row>
    <row r="18" spans="2:13" ht="21.75" customHeight="1" x14ac:dyDescent="0.2">
      <c r="B18" s="13"/>
      <c r="M18" s="4"/>
    </row>
    <row r="19" spans="2:13" ht="21.75" customHeight="1" x14ac:dyDescent="0.2">
      <c r="B19" s="13"/>
    </row>
    <row r="20" spans="2:13" ht="19.5" customHeight="1" x14ac:dyDescent="0.2"/>
    <row r="21" spans="2:13" ht="19.5" customHeight="1" x14ac:dyDescent="0.2">
      <c r="C21" t="s">
        <v>14</v>
      </c>
      <c r="D21" s="6" t="str">
        <f>IF(H12&lt;D26,"○")</f>
        <v>○</v>
      </c>
    </row>
    <row r="22" spans="2:13" ht="19.5" customHeight="1" x14ac:dyDescent="0.2">
      <c r="B22" s="9" t="s">
        <v>31</v>
      </c>
      <c r="C22" t="s">
        <v>15</v>
      </c>
      <c r="D22" s="7">
        <f>ROUND(D24*D23^D25,1)</f>
        <v>52.6</v>
      </c>
      <c r="E22"/>
    </row>
    <row r="23" spans="2:13" ht="19.5" customHeight="1" x14ac:dyDescent="0.2">
      <c r="B23" s="9" t="s">
        <v>16</v>
      </c>
      <c r="C23" t="s">
        <v>17</v>
      </c>
      <c r="D23" s="6">
        <f>SUM(H11)</f>
        <v>3139200</v>
      </c>
      <c r="E23"/>
    </row>
    <row r="24" spans="2:13" x14ac:dyDescent="0.2">
      <c r="C24" t="s">
        <v>32</v>
      </c>
      <c r="D24" s="8">
        <v>285.3</v>
      </c>
      <c r="E24"/>
    </row>
    <row r="25" spans="2:13" x14ac:dyDescent="0.2">
      <c r="C25" t="s">
        <v>33</v>
      </c>
      <c r="D25" s="11">
        <v>-0.113</v>
      </c>
      <c r="E25"/>
    </row>
    <row r="26" spans="2:13" x14ac:dyDescent="0.2">
      <c r="C26" t="s">
        <v>18</v>
      </c>
      <c r="D26" s="6">
        <f>D23*(D22/100)</f>
        <v>1651219.2000000002</v>
      </c>
      <c r="E26"/>
    </row>
    <row r="27" spans="2:13" x14ac:dyDescent="0.2">
      <c r="B27" s="4"/>
      <c r="C27" t="s">
        <v>19</v>
      </c>
      <c r="D27" s="8">
        <f>H12*100/D23</f>
        <v>49.980886850152906</v>
      </c>
      <c r="E27"/>
    </row>
  </sheetData>
  <mergeCells count="8">
    <mergeCell ref="K4:L4"/>
    <mergeCell ref="B7:B9"/>
    <mergeCell ref="C7:C9"/>
    <mergeCell ref="B14:G14"/>
    <mergeCell ref="B15:G15"/>
    <mergeCell ref="B11:G11"/>
    <mergeCell ref="B12:G12"/>
    <mergeCell ref="B13:G13"/>
  </mergeCells>
  <phoneticPr fontId="7"/>
  <pageMargins left="0.6692913385826772" right="0.19685039370078741" top="1.1023622047244095" bottom="0.98425196850393704"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D981-2E9E-4A84-B2CD-1954E4B30A0D}">
  <dimension ref="B2:N24"/>
  <sheetViews>
    <sheetView workbookViewId="0"/>
  </sheetViews>
  <sheetFormatPr defaultColWidth="9" defaultRowHeight="13" x14ac:dyDescent="0.2"/>
  <cols>
    <col min="1" max="1" width="1.6328125" style="13" customWidth="1"/>
    <col min="2" max="2" width="12.90625" style="13" customWidth="1"/>
    <col min="3" max="3" width="15.08984375" style="13" bestFit="1" customWidth="1"/>
    <col min="4" max="4" width="11" style="14" bestFit="1" customWidth="1"/>
    <col min="5" max="5" width="5.90625" style="13" customWidth="1"/>
    <col min="6" max="6" width="6.08984375" style="15" customWidth="1"/>
    <col min="7" max="7" width="10.90625" style="14" customWidth="1"/>
    <col min="8" max="8" width="28.36328125" style="13" bestFit="1" customWidth="1"/>
    <col min="9" max="9" width="1.90625" style="13" customWidth="1"/>
    <col min="10" max="10" width="11.08984375" style="13" bestFit="1" customWidth="1"/>
    <col min="11" max="11" width="13.453125" style="13" customWidth="1"/>
    <col min="12" max="16384" width="9" style="13"/>
  </cols>
  <sheetData>
    <row r="2" spans="2:14" s="1" customFormat="1" ht="16.5" x14ac:dyDescent="0.2">
      <c r="B2" s="27" t="s">
        <v>165</v>
      </c>
      <c r="D2" s="2"/>
      <c r="F2" s="3"/>
      <c r="G2" s="2"/>
    </row>
    <row r="3" spans="2:14" ht="13.5" thickBot="1" x14ac:dyDescent="0.25">
      <c r="H3" s="16"/>
    </row>
    <row r="4" spans="2:14" s="15" customFormat="1" ht="20.25" customHeight="1" thickBot="1" x14ac:dyDescent="0.25">
      <c r="B4" s="115" t="s">
        <v>0</v>
      </c>
      <c r="C4" s="117" t="s">
        <v>1</v>
      </c>
      <c r="D4" s="86" t="s">
        <v>2</v>
      </c>
      <c r="E4" s="117" t="s">
        <v>3</v>
      </c>
      <c r="F4" s="117" t="s">
        <v>4</v>
      </c>
      <c r="G4" s="86" t="s">
        <v>5</v>
      </c>
      <c r="H4" s="87" t="s">
        <v>6</v>
      </c>
    </row>
    <row r="5" spans="2:14" ht="44.25" customHeight="1" x14ac:dyDescent="0.2">
      <c r="B5" s="517" t="s">
        <v>39</v>
      </c>
      <c r="C5" s="516" t="s">
        <v>137</v>
      </c>
      <c r="D5" s="118">
        <f>単価!E16</f>
        <v>3480</v>
      </c>
      <c r="E5" s="119">
        <v>5</v>
      </c>
      <c r="F5" s="117" t="s">
        <v>34</v>
      </c>
      <c r="G5" s="118">
        <f>+D5*E5</f>
        <v>17400</v>
      </c>
      <c r="H5" s="120" t="str">
        <f>単価!G16</f>
        <v>丸太町～福知山（往復）</v>
      </c>
      <c r="L5" s="14"/>
    </row>
    <row r="6" spans="2:14" ht="44.25" customHeight="1" x14ac:dyDescent="0.2">
      <c r="B6" s="530"/>
      <c r="C6" s="516"/>
      <c r="D6" s="22">
        <f>単価!E17</f>
        <v>1460</v>
      </c>
      <c r="E6" s="21">
        <v>5</v>
      </c>
      <c r="F6" s="23" t="s">
        <v>34</v>
      </c>
      <c r="G6" s="22">
        <f t="shared" ref="G6" si="0">+D6*E6</f>
        <v>7300</v>
      </c>
      <c r="H6" s="121" t="str">
        <f>単価!G17</f>
        <v>丸太町～園部（往復）</v>
      </c>
      <c r="L6" s="14"/>
    </row>
    <row r="7" spans="2:14" ht="44.25" customHeight="1" x14ac:dyDescent="0.2">
      <c r="B7" s="558"/>
      <c r="C7" s="23" t="s">
        <v>167</v>
      </c>
      <c r="D7" s="22">
        <v>25300</v>
      </c>
      <c r="E7" s="21">
        <v>1</v>
      </c>
      <c r="F7" s="23" t="s">
        <v>166</v>
      </c>
      <c r="G7" s="22">
        <f>+D7*E7</f>
        <v>25300</v>
      </c>
      <c r="H7" s="121"/>
      <c r="L7" s="14"/>
    </row>
    <row r="8" spans="2:14" ht="22.5" customHeight="1" thickBot="1" x14ac:dyDescent="0.25">
      <c r="B8" s="116" t="s">
        <v>24</v>
      </c>
      <c r="C8" s="29"/>
      <c r="D8" s="30"/>
      <c r="E8" s="29"/>
      <c r="F8" s="31"/>
      <c r="G8" s="30">
        <f>SUM(G5:G7)</f>
        <v>50000</v>
      </c>
      <c r="H8" s="32"/>
      <c r="J8" s="14"/>
      <c r="K8" s="26"/>
      <c r="L8" s="26"/>
      <c r="M8" s="24"/>
    </row>
    <row r="9" spans="2:14" x14ac:dyDescent="0.2">
      <c r="B9" s="238"/>
      <c r="K9" s="14"/>
      <c r="L9" s="24"/>
    </row>
    <row r="11" spans="2:14" x14ac:dyDescent="0.2">
      <c r="L11" s="24"/>
    </row>
    <row r="12" spans="2:14" x14ac:dyDescent="0.2">
      <c r="L12" s="25"/>
      <c r="M12" s="25"/>
      <c r="N12" s="25"/>
    </row>
    <row r="16" spans="2:14" x14ac:dyDescent="0.2">
      <c r="L16" s="14"/>
    </row>
    <row r="17" spans="4:12" ht="44.25" customHeight="1" x14ac:dyDescent="0.2">
      <c r="D17" s="13"/>
      <c r="F17" s="13"/>
      <c r="G17" s="13"/>
      <c r="L17" s="14"/>
    </row>
    <row r="24" spans="4:12" x14ac:dyDescent="0.2">
      <c r="K24" s="14"/>
    </row>
  </sheetData>
  <mergeCells count="2">
    <mergeCell ref="C5:C6"/>
    <mergeCell ref="B5:B7"/>
  </mergeCells>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【積算】Ｒ７予算書_シカ</vt:lpstr>
      <vt:lpstr>R5交付金事業計画</vt:lpstr>
      <vt:lpstr>単価</vt:lpstr>
      <vt:lpstr>ア【計画評価】【積算】②Ｒ5 予算書_シカ_1P</vt:lpstr>
      <vt:lpstr>ア【計画評価】②委託 _2P</vt:lpstr>
      <vt:lpstr>ア【計画評価】①事務費_2P</vt:lpstr>
      <vt:lpstr>ア【計画評価】③④事務費_2P</vt:lpstr>
      <vt:lpstr>イ【捕獲】舞鶴市神崎_3P</vt:lpstr>
      <vt:lpstr>イ【捕獲_諸雑費】舞鶴市神崎_添付しない</vt:lpstr>
      <vt:lpstr>イ【捕獲_事務費】舞鶴市神崎_4P</vt:lpstr>
      <vt:lpstr>ウ_【効果捕獲】府事務費_5P</vt:lpstr>
      <vt:lpstr>ウ_【効果捕獲】_6P</vt:lpstr>
      <vt:lpstr>ウ_【効果捕獲】諸雑費_添付しない</vt:lpstr>
      <vt:lpstr>カ_【ジビエ】捕獲_7P</vt:lpstr>
      <vt:lpstr>カ_【ジビエ】捕獲②</vt:lpstr>
      <vt:lpstr>カ_【ジビエ】捕獲府事務費 _8P</vt:lpstr>
      <vt:lpstr>【積算】Ｒ７予算書_シカ!Print_Area</vt:lpstr>
      <vt:lpstr>'R5交付金事業計画'!Print_Area</vt:lpstr>
      <vt:lpstr>'ア【計画評価】【積算】②Ｒ5 予算書_シカ_1P'!Print_Area</vt:lpstr>
      <vt:lpstr>ア【計画評価】①事務費_2P!Print_Area</vt:lpstr>
      <vt:lpstr>'ア【計画評価】②委託 _2P'!Print_Area</vt:lpstr>
      <vt:lpstr>ア【計画評価】③④事務費_2P!Print_Area</vt:lpstr>
      <vt:lpstr>イ【捕獲_事務費】舞鶴市神崎_4P!Print_Area</vt:lpstr>
      <vt:lpstr>イ【捕獲_諸雑費】舞鶴市神崎_添付しない!Print_Area</vt:lpstr>
      <vt:lpstr>イ【捕獲】舞鶴市神崎_3P!Print_Area</vt:lpstr>
      <vt:lpstr>ウ_【効果捕獲】_6P!Print_Area</vt:lpstr>
      <vt:lpstr>ウ_【効果捕獲】諸雑費_添付しない!Print_Area</vt:lpstr>
      <vt:lpstr>ウ_【効果捕獲】府事務費_5P!Print_Area</vt:lpstr>
      <vt:lpstr>カ_【ジビエ】捕獲_7P!Print_Area</vt:lpstr>
      <vt:lpstr>カ_【ジビエ】捕獲②!Print_Area</vt:lpstr>
      <vt:lpstr>'カ_【ジビエ】捕獲府事務費 _8P'!Print_Area</vt:lpstr>
      <vt:lpstr>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磯井　達也（会任）</cp:lastModifiedBy>
  <cp:lastPrinted>2025-03-17T07:01:06Z</cp:lastPrinted>
  <dcterms:created xsi:type="dcterms:W3CDTF">2015-06-09T00:55:19Z</dcterms:created>
  <dcterms:modified xsi:type="dcterms:W3CDTF">2025-03-26T06:42:56Z</dcterms:modified>
</cp:coreProperties>
</file>