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7" i="11" l="1"/>
  <c r="V29" i="11"/>
  <c r="Q33" i="11" l="1"/>
  <c r="V33" i="11"/>
  <c r="AA31" i="11"/>
  <c r="AA30" i="11"/>
  <c r="AA29" i="11"/>
  <c r="AA28" i="11"/>
  <c r="AA8" i="11"/>
  <c r="AA7" i="11"/>
  <c r="Q7" i="11"/>
  <c r="V23" i="11" l="1"/>
  <c r="Q23" i="11"/>
  <c r="CR7" i="11" l="1"/>
  <c r="DB102" i="11" l="1"/>
  <c r="CW8" i="11"/>
  <c r="CR102" i="11"/>
  <c r="CR13" i="11" l="1"/>
  <c r="CM13" i="11"/>
  <c r="CH13" i="11"/>
  <c r="CW12" i="11"/>
  <c r="CW11" i="11"/>
  <c r="CW10" i="11"/>
  <c r="CW9" i="11"/>
  <c r="CM12" i="11"/>
  <c r="CM10" i="11"/>
  <c r="CM11" i="11"/>
  <c r="CM9" i="11"/>
  <c r="CM8" i="11"/>
  <c r="CM7" i="11"/>
  <c r="CH12" i="11"/>
  <c r="CH11" i="11"/>
  <c r="CH10" i="11"/>
  <c r="CH9" i="11"/>
  <c r="CH8" i="11"/>
  <c r="CH7" i="11"/>
  <c r="CR12" i="11" l="1"/>
  <c r="CR11" i="11"/>
  <c r="CR10" i="11"/>
  <c r="CR9" i="11"/>
  <c r="CR8" i="11"/>
  <c r="AU88" i="11" l="1"/>
  <c r="AU74" i="11"/>
  <c r="AU68" i="11"/>
  <c r="AP88" i="11"/>
  <c r="AP74" i="11"/>
  <c r="AP73" i="11"/>
  <c r="AP68" i="11"/>
  <c r="AF88" i="11"/>
  <c r="AF76" i="11"/>
  <c r="AF75" i="11"/>
  <c r="AF73" i="11"/>
  <c r="AF70" i="11"/>
  <c r="AF69" i="11"/>
  <c r="AF68" i="11"/>
  <c r="AU73" i="11"/>
  <c r="AK76" i="11"/>
  <c r="AK75" i="11"/>
  <c r="AK74" i="11"/>
  <c r="AK73" i="11"/>
  <c r="AK68" i="11"/>
  <c r="AF74" i="11"/>
  <c r="AF77" i="11"/>
  <c r="AF72" i="11"/>
  <c r="AF71" i="11"/>
  <c r="Q77" i="11"/>
  <c r="Q76" i="11"/>
  <c r="Q75" i="11"/>
  <c r="Q74" i="11"/>
  <c r="Q73" i="11"/>
  <c r="Q72" i="11"/>
  <c r="Q71" i="11"/>
  <c r="V77" i="11"/>
  <c r="V76" i="11"/>
  <c r="V75" i="11"/>
  <c r="V74" i="11"/>
  <c r="V73" i="11"/>
  <c r="V72" i="11"/>
  <c r="V71" i="11"/>
  <c r="AA77" i="11"/>
  <c r="AA76" i="11"/>
  <c r="AA75" i="11"/>
  <c r="AA74" i="11"/>
  <c r="AA73" i="11"/>
  <c r="AA72" i="11"/>
  <c r="AA71" i="11"/>
  <c r="AA70" i="11" l="1"/>
  <c r="V70" i="11"/>
  <c r="Q70" i="11"/>
  <c r="Q69" i="11"/>
  <c r="AA69" i="11"/>
  <c r="V69" i="11"/>
  <c r="Q68" i="11"/>
  <c r="V68" i="11" l="1"/>
  <c r="AA68" i="11"/>
  <c r="AU63" i="11" l="1"/>
  <c r="AU33" i="11"/>
  <c r="AU32" i="11"/>
  <c r="AP63" i="11"/>
  <c r="AP33" i="11"/>
  <c r="AP32" i="11"/>
  <c r="V31" i="11" l="1"/>
  <c r="V30" i="11"/>
  <c r="Q31" i="11"/>
  <c r="Q30" i="11"/>
  <c r="Q29" i="11"/>
  <c r="V28" i="11" l="1"/>
  <c r="Q28" i="11"/>
  <c r="AP23" i="11"/>
  <c r="AP8" i="11"/>
  <c r="AP7" i="11"/>
  <c r="AA23" i="11"/>
  <c r="V8" i="11"/>
  <c r="Q8" i="11"/>
  <c r="V7" i="11"/>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C37" i="9"/>
  <c r="BE36" i="9"/>
  <c r="AM36" i="9"/>
  <c r="C36" i="9"/>
  <c r="BE35" i="9"/>
  <c r="AM35" i="9"/>
  <c r="CO34" i="9"/>
  <c r="CO35" i="9" s="1"/>
  <c r="CO36" i="9" s="1"/>
  <c r="CO37" i="9" s="1"/>
  <c r="CO38" i="9" s="1"/>
  <c r="CO39" i="9" s="1"/>
  <c r="BW34" i="9"/>
  <c r="BW35" i="9" s="1"/>
  <c r="BW36" i="9" s="1"/>
  <c r="BW37" i="9" s="1"/>
  <c r="BW38" i="9" s="1"/>
  <c r="BW39" i="9" s="1"/>
  <c r="BW40" i="9" s="1"/>
  <c r="BW41" i="9" s="1"/>
  <c r="BW42" i="9" s="1"/>
  <c r="BW43" i="9" s="1"/>
  <c r="C34" i="9"/>
  <c r="C35" i="9" s="1"/>
  <c r="U34" i="9" l="1"/>
  <c r="U35" i="9" s="1"/>
  <c r="U36" i="9" s="1"/>
  <c r="U37" i="9" s="1"/>
  <c r="AM34"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<sst xmlns="http://schemas.openxmlformats.org/spreadsheetml/2006/main" count="1121" uniqueCount="554">
  <si>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</si>
  <si>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</si>
  <si>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</si>
  <si>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</si>
  <si>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</si>
  <si>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</si>
  <si>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</si>
  <si>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</si>
  <si>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</si>
  <si>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</si>
  <si>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</si>
  <si>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</si>
  <si>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</si>
  <si>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</si>
  <si>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</si>
  <si>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</si>
  <si>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</si>
  <si>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</si>
  <si>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</si>
  <si>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</si>
  <si>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</si>
  <si>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</si>
  <si>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</si>
  <si>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</si>
  <si>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</si>
  <si>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</si>
  <si>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</si>
  <si>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</si>
  <si>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</si>
  <si>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</si>
  <si>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</si>
  <si>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</si>
  <si>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</si>
  <si>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</si>
  <si>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</si>
  <si>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</si>
  <si>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</si>
  <si>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</si>
  <si>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</si>
  <si>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</si>
  <si>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</si>
  <si>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</si>
  <si>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</si>
  <si>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</si>
  <si>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</si>
  <si>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</si>
  <si>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</si>
  <si>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</si>
  <si>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</si>
  <si>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</si>
  <si>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</si>
  <si>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</si>
  <si>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</si>
  <si>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</si>
  <si>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</si>
  <si>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</si>
  <si>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</si>
  <si>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</si>
  <si>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</si>
  <si>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</si>
  <si>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</si>
  <si>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</si>
  <si>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</si>
  <si>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</si>
  <si>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</si>
  <si>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</si>
  <si>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</si>
  <si>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</si>
  <si>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</si>
  <si>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</si>
  <si>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</si>
  <si>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</si>
  <si>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</si>
  <si>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</si>
  <si>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</si>
  <si>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</si>
  <si>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</si>
  <si>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</si>
  <si>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</si>
  <si>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</si>
  <si>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</si>
  <si>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</si>
  <si>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長岡京市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</si>
  <si>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</si>
  <si>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</si>
  <si>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</si>
  <si>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</si>
  <si>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</si>
  <si>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</si>
  <si>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</si>
  <si>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</si>
  <si>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</si>
  <si>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</si>
  <si>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</si>
  <si>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</si>
  <si>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</si>
  <si>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</si>
  <si>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</si>
  <si>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</si>
  <si>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</si>
  <si>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</si>
  <si>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</si>
  <si>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</si>
  <si>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</si>
  <si>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</si>
  <si>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</si>
  <si>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</si>
  <si>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</si>
  <si>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</si>
  <si>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</si>
  <si>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</si>
  <si>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</si>
  <si>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</si>
  <si>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</si>
  <si>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</si>
  <si>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</si>
  <si>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</si>
  <si>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</si>
  <si>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</si>
  <si>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</si>
  <si>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</si>
  <si>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</si>
  <si>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</si>
  <si>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</si>
  <si>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</si>
  <si>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</si>
  <si>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</si>
  <si>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</si>
  <si>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</si>
  <si>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</si>
  <si>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</si>
  <si>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</si>
  <si>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</si>
  <si>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</si>
  <si>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</si>
  <si>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</si>
  <si>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</si>
  <si>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</si>
  <si>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</si>
  <si>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</si>
  <si>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</si>
  <si>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</si>
  <si>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</si>
  <si>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</si>
  <si>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</si>
  <si>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</si>
  <si>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</si>
  <si>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</si>
  <si>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</si>
  <si>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</si>
  <si>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</si>
  <si>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</si>
  <si>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</si>
  <si>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</si>
  <si>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</si>
  <si>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</si>
  <si>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</si>
  <si>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</si>
  <si>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</si>
  <si>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</si>
  <si>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</si>
  <si>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</si>
  <si>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</si>
  <si>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</si>
  <si>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</si>
  <si>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</si>
  <si>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</si>
  <si>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</si>
  <si>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</si>
  <si>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</si>
  <si>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</si>
  <si>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</si>
  <si>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</si>
  <si>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</si>
  <si>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</si>
  <si>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</si>
  <si>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</si>
  <si>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</si>
  <si>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</si>
  <si>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</si>
  <si>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</si>
  <si>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</si>
  <si>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</si>
  <si>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</si>
  <si>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</si>
  <si>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</si>
  <si>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</si>
  <si>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</si>
  <si>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</si>
  <si>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</si>
  <si>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</si>
  <si>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</si>
  <si>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</si>
  <si>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</si>
  <si>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</si>
  <si>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京都府長岡京市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</si>
  <si>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</si>
  <si>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</si>
  <si>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</si>
  <si>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</si>
  <si>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</si>
  <si>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</si>
  <si>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</si>
  <si>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</si>
  <si>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</si>
  <si>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</si>
  <si>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</si>
  <si>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</si>
  <si>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</si>
  <si>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</si>
  <si>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</si>
  <si>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</si>
  <si>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</si>
  <si>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</si>
  <si>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</si>
  <si>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</si>
  <si>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</si>
  <si>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</si>
  <si>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</si>
  <si>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</si>
  <si>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</si>
  <si>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</si>
  <si>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</si>
  <si>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</si>
  <si>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</si>
  <si>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</si>
  <si>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</si>
  <si>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</si>
  <si>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</si>
  <si>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</si>
  <si>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</si>
  <si>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</si>
  <si>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</si>
  <si>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</si>
  <si>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</si>
  <si>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</si>
  <si>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</si>
  <si>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</si>
  <si>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</si>
  <si>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</si>
  <si>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</si>
  <si>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</si>
  <si>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</si>
  <si>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</si>
  <si>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</si>
  <si>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</si>
  <si>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</si>
  <si>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</si>
  <si>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</si>
  <si>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</si>
  <si>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</si>
  <si>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</si>
  <si>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</si>
  <si>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</si>
  <si>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</si>
  <si>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</si>
  <si>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</si>
  <si>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</si>
  <si>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</si>
  <si>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</si>
  <si>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</si>
  <si>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</si>
  <si>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</si>
  <si>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</si>
  <si>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</si>
  <si>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</si>
  <si>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</si>
  <si>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</si>
  <si>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</si>
  <si>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</si>
  <si>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</si>
  <si>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</si>
  <si>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</si>
  <si>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</si>
  <si>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</si>
  <si>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</si>
  <si>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</si>
  <si>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</si>
  <si>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</si>
  <si>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</si>
  <si>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</si>
  <si>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</si>
  <si>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</si>
  <si>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</si>
  <si>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</si>
  <si>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</si>
  <si>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</si>
  <si>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</si>
  <si>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</si>
  <si>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</si>
  <si>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</si>
  <si>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</si>
  <si>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</si>
  <si>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</si>
  <si>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</si>
  <si>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</si>
  <si>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</si>
  <si>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</si>
  <si>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</si>
  <si>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</si>
  <si>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</si>
  <si>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</si>
  <si>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</si>
  <si>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</si>
  <si>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</si>
  <si>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</si>
  <si>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</si>
  <si>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</si>
  <si>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</si>
  <si>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</si>
  <si>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</si>
  <si>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</si>
  <si>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</si>
  <si>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</si>
  <si>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</si>
  <si>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</si>
  <si>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</si>
  <si>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</si>
  <si>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</si>
  <si>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</si>
  <si>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</si>
  <si>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</si>
  <si>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</si>
  <si>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</si>
  <si>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</si>
  <si>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</si>
  <si>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</si>
  <si>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</si>
  <si>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</si>
  <si>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</si>
  <si>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</si>
  <si>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</si>
  <si>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</si>
  <si>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</si>
  <si>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</si>
  <si>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</si>
  <si>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</si>
  <si>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</si>
  <si>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</si>
  <si>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</si>
  <si>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</si>
  <si>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</si>
  <si>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</si>
  <si>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</si>
  <si>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</si>
  <si>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</si>
  <si>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京都府長岡京市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</si>
  <si>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</si>
  <si>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</si>
  <si>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</si>
  <si>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</si>
  <si>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</si>
  <si>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</si>
  <si>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</si>
  <si>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</si>
  <si>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</si>
  <si>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</si>
  <si>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</si>
  <si>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</si>
  <si>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</si>
  <si>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</si>
  <si>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</si>
  <si>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</si>
  <si>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</si>
  <si>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</si>
  <si>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</si>
  <si>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</si>
  <si>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乙訓休日応急診療所特別会計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</si>
  <si>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</si>
  <si>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</si>
  <si>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</si>
  <si>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</si>
  <si>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</si>
  <si>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</si>
  <si>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</si>
  <si>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</si>
  <si>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</si>
  <si>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</si>
  <si>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</si>
  <si>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</si>
  <si>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</si>
  <si>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</si>
  <si>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</si>
  <si>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</si>
  <si>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</si>
  <si>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長岡京市水道事業会計</t>
    <phoneticPr fontId="5"/>
  </si>
  <si>
    <t>法適用企業</t>
    <phoneticPr fontId="5"/>
  </si>
  <si>
    <t>長岡京市公共下水道事業特別会計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</si>
  <si>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</si>
  <si>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</si>
  <si>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</si>
  <si>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</si>
  <si>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</si>
  <si>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</si>
  <si>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</si>
  <si>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</si>
  <si>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</si>
  <si>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</si>
  <si>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</si>
  <si>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</si>
  <si>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</si>
  <si>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</si>
  <si>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</si>
  <si>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</si>
  <si>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</si>
  <si>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</si>
  <si>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</si>
  <si>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</si>
  <si>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</si>
  <si>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</si>
  <si>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</si>
  <si>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</si>
  <si>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</si>
  <si>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</si>
  <si>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</si>
  <si>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</si>
  <si>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</si>
  <si>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</si>
  <si>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</si>
  <si>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</si>
  <si>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</si>
  <si>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</si>
  <si>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</si>
  <si>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</si>
  <si>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</si>
  <si>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</si>
  <si>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</si>
  <si>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</si>
  <si>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</si>
  <si>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</si>
  <si>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</si>
  <si>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</si>
  <si>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</si>
  <si>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</si>
  <si>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</si>
  <si>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</si>
  <si>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</si>
  <si>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</si>
  <si>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</si>
  <si>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</si>
  <si>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</si>
  <si>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</si>
  <si>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</si>
  <si>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</si>
  <si>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</si>
  <si>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</si>
  <si>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</si>
  <si>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</si>
  <si>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</si>
  <si>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</si>
  <si>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</si>
  <si>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</si>
  <si>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</si>
  <si>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</si>
  <si>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</si>
  <si>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</si>
  <si>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</si>
  <si>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</si>
  <si>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</si>
  <si>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</si>
  <si>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</si>
  <si>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</si>
  <si>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</si>
  <si>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</si>
  <si>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</si>
  <si>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</si>
  <si>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</si>
  <si>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</si>
  <si>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</si>
  <si>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</si>
  <si>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</si>
  <si>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</si>
  <si>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</si>
  <si>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</si>
  <si>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</si>
  <si>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</si>
  <si>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</si>
  <si>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</si>
  <si>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</si>
  <si>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</si>
  <si>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</si>
  <si>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</si>
  <si>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</si>
  <si>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</si>
  <si>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</si>
  <si>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</si>
  <si>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</si>
  <si>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</si>
  <si>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</si>
  <si>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</si>
  <si>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</si>
  <si>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</si>
  <si>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</si>
  <si>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</si>
  <si>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</si>
  <si>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</si>
  <si>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</si>
  <si>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</si>
  <si>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</si>
  <si>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</si>
  <si>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</si>
  <si>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</si>
  <si>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</si>
  <si>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</si>
  <si>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</si>
  <si>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</si>
  <si>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</si>
  <si>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</si>
  <si>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</si>
  <si>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</si>
  <si>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</si>
  <si>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</si>
  <si>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</si>
  <si>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</si>
  <si>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</si>
  <si>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</si>
  <si>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</si>
  <si>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</si>
  <si>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</si>
  <si>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</si>
  <si>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</si>
  <si>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</si>
  <si>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長岡京市水道事業会計</t>
  </si>
  <si>
    <t>一般会計</t>
  </si>
  <si>
    <t>国民健康保険事業特別会計</t>
  </si>
  <si>
    <t>介護保険事業特別会計</t>
  </si>
  <si>
    <t>後期高齢者医療事業特別会計</t>
  </si>
  <si>
    <t>乙訓休日応急診療所特別会計</t>
  </si>
  <si>
    <t>駐車場事業特別会計</t>
  </si>
  <si>
    <t>長岡京市公共下水道事業特別会計</t>
  </si>
  <si>
    <t>その他会計（赤字）</t>
  </si>
  <si>
    <t>その他会計（黒字）</t>
  </si>
  <si>
    <t>-</t>
    <phoneticPr fontId="2"/>
  </si>
  <si>
    <t>乙訓環境衛生組合</t>
    <phoneticPr fontId="2"/>
  </si>
  <si>
    <t>桂川・小畑川水防事務組合</t>
    <phoneticPr fontId="2"/>
  </si>
  <si>
    <t>乙訓福祉施設事務組合</t>
    <phoneticPr fontId="2"/>
  </si>
  <si>
    <t>京都府自治会館管理組合</t>
    <phoneticPr fontId="2"/>
  </si>
  <si>
    <t>京都府住宅新築資金等貸付事業管理組合（一般会計）</t>
    <rPh sb="19" eb="21">
      <t>イッパン</t>
    </rPh>
    <rPh sb="21" eb="23">
      <t>カイケイ</t>
    </rPh>
    <phoneticPr fontId="2"/>
  </si>
  <si>
    <t>京都府住宅新築資金等貸付事業管理組合（特別会計）</t>
    <rPh sb="19" eb="21">
      <t>トクベツ</t>
    </rPh>
    <rPh sb="21" eb="23">
      <t>カイケイ</t>
    </rPh>
    <phoneticPr fontId="2"/>
  </si>
  <si>
    <t>乙訓消防組合</t>
    <phoneticPr fontId="2"/>
  </si>
  <si>
    <t>京都府後期高齢者医療広域連合（一般会計）</t>
    <rPh sb="15" eb="17">
      <t>イッパン</t>
    </rPh>
    <rPh sb="17" eb="19">
      <t>カイケイ</t>
    </rPh>
    <phoneticPr fontId="2"/>
  </si>
  <si>
    <t>京都府後期高齢者医療広域連合（後期高齢者医療特別会計）</t>
    <phoneticPr fontId="2"/>
  </si>
  <si>
    <t>京都府地方税機構</t>
    <phoneticPr fontId="2"/>
  </si>
  <si>
    <t>-</t>
    <phoneticPr fontId="2"/>
  </si>
  <si>
    <t>長岡京都市開発</t>
  </si>
  <si>
    <t>長岡京市埋蔵文化財センター</t>
  </si>
  <si>
    <t>長岡京水資源対策基金</t>
  </si>
  <si>
    <t>長岡京市体育協会</t>
  </si>
  <si>
    <t>乙訓勤労者福祉サービスセンター</t>
  </si>
  <si>
    <t>長岡京市緑の協会</t>
  </si>
  <si>
    <t>-</t>
    <phoneticPr fontId="2"/>
  </si>
  <si>
    <t>-</t>
    <phoneticPr fontId="2"/>
  </si>
  <si>
    <t>乙訓土地開発公社</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</si>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</sst>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33364</c:v>
                </c:pt>
                <c:pt idx="2">
                  <c:v>36396</c:v>
                </c:pt>
                <c:pt idx="3">
                  <c:v>62256</c:v>
                </c:pt>
                <c:pt idx="4">
                  <c:v>53896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43411</c:v>
                </c:pt>
                <c:pt idx="1">
                  <c:v>27265</c:v>
                </c:pt>
                <c:pt idx="2">
                  <c:v>24756</c:v>
                </c:pt>
                <c:pt idx="3">
                  <c:v>53012</c:v>
                </c:pt>
                <c:pt idx="4">
                  <c:v>44326</c:v>
                </c:pt>
              </c:numCache>
            </c:numRef>
          </c:val>
          <c:smooth val="0"/>
        </c:ser>
        <c:dLbls>
          <c:showLegendKey val="0"/>
          <c:showVal val="0"/>
          <c:showCatName val="0"/>
          <c:showSerName val="0"/>
          <c:showPercent val="0"/>
          <c:showBubbleSize val="0"/>
        </c:dLbls>
        <c:marker val="1"/>
        <c:smooth val="0"/>
        <c:axId val="74025216"/>
        <c:axId val="74027392"/>
      </c:lineChart>
      <c:catAx>
        <c:axId val="740252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027392"/>
        <c:crosses val="autoZero"/>
        <c:auto val="1"/>
        <c:lblAlgn val="ctr"/>
        <c:lblOffset val="100"/>
        <c:tickLblSkip val="1"/>
        <c:tickMarkSkip val="1"/>
        <c:noMultiLvlLbl val="0"/>
      </c:catAx>
      <c:valAx>
        <c:axId val="740273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025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4.32</c:v>
                </c:pt>
                <c:pt idx="1">
                  <c:v>3.78</c:v>
                </c:pt>
                <c:pt idx="2">
                  <c:v>4.29</c:v>
                </c:pt>
                <c:pt idx="3">
                  <c:v>4.4000000000000004</c:v>
                </c:pt>
                <c:pt idx="4">
                  <c:v>4.99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15.27</c:v>
                </c:pt>
                <c:pt idx="1">
                  <c:v>17.260000000000002</c:v>
                </c:pt>
                <c:pt idx="2">
                  <c:v>16.96</c:v>
                </c:pt>
                <c:pt idx="3">
                  <c:v>18.21</c:v>
                </c:pt>
                <c:pt idx="4">
                  <c:v>18.05</c:v>
                </c:pt>
              </c:numCache>
            </c:numRef>
          </c:val>
        </c:ser>
        <c:dLbls>
          <c:showLegendKey val="0"/>
          <c:showVal val="0"/>
          <c:showCatName val="0"/>
          <c:showSerName val="0"/>
          <c:showPercent val="0"/>
          <c:showBubbleSize val="0"/>
        </c:dLbls>
        <c:gapWidth val="250"/>
        <c:overlap val="100"/>
        <c:axId val="76648448"/>
        <c:axId val="76650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4.7699999999999996</c:v>
                </c:pt>
                <c:pt idx="1">
                  <c:v>1.61</c:v>
                </c:pt>
                <c:pt idx="2">
                  <c:v>0.61</c:v>
                </c:pt>
                <c:pt idx="3">
                  <c:v>1.84</c:v>
                </c:pt>
                <c:pt idx="4">
                  <c:v>0.68</c:v>
                </c:pt>
              </c:numCache>
            </c:numRef>
          </c:val>
          <c:smooth val="0"/>
        </c:ser>
        <c:dLbls>
          <c:showLegendKey val="0"/>
          <c:showVal val="0"/>
          <c:showCatName val="0"/>
          <c:showSerName val="0"/>
          <c:showPercent val="0"/>
          <c:showBubbleSize val="0"/>
        </c:dLbls>
        <c:marker val="1"/>
        <c:smooth val="0"/>
        <c:axId val="76648448"/>
        <c:axId val="76650368"/>
      </c:lineChart>
      <c:catAx>
        <c:axId val="7664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6650368"/>
        <c:crosses val="autoZero"/>
        <c:auto val="1"/>
        <c:lblAlgn val="ctr"/>
        <c:lblOffset val="100"/>
        <c:tickLblSkip val="1"/>
        <c:tickMarkSkip val="1"/>
        <c:noMultiLvlLbl val="0"/>
      </c:catAx>
      <c:valAx>
        <c:axId val="7665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64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長岡京市公共下水道事業特別会計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0.01</c:v>
                </c:pt>
                <c:pt idx="8">
                  <c:v>#N/A</c:v>
                </c:pt>
                <c:pt idx="9">
                  <c:v>0.01</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0.04</c:v>
                </c:pt>
                <c:pt idx="8">
                  <c:v>#N/A</c:v>
                </c:pt>
                <c:pt idx="9">
                  <c:v>0.06</c:v>
                </c:pt>
              </c:numCache>
            </c:numRef>
          </c:val>
        </c:ser>
        <c:ser>
          <c:idx val="4"/>
          <c:order val="4"/>
          <c:tx>
            <c:strRef>
              <c:f>データシート!$A$31</c:f>
              <c:strCache>
                <c:ptCount val="1"/>
                <c:pt idx="0">
                  <c:v>乙訓休日応急診療所特別会計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0.09</c:v>
                </c:pt>
                <c:pt idx="4">
                  <c:v>#N/A</c:v>
                </c:pt>
                <c:pt idx="5">
                  <c:v>0.08</c:v>
                </c:pt>
                <c:pt idx="6">
                  <c:v>#N/A</c:v>
                </c:pt>
                <c:pt idx="7">
                  <c:v>0.09</c:v>
                </c:pt>
                <c:pt idx="8">
                  <c:v>#N/A</c:v>
                </c:pt>
                <c:pt idx="9">
                  <c:v>0.09</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c:v>
                </c:pt>
                <c:pt idx="2">
                  <c:v>#N/A</c:v>
                </c:pt>
                <c:pt idx="3">
                  <c:v>0.21</c:v>
                </c:pt>
                <c:pt idx="4">
                  <c:v>#N/A</c:v>
                </c:pt>
                <c:pt idx="5">
                  <c:v>0.26</c:v>
                </c:pt>
                <c:pt idx="6">
                  <c:v>#N/A</c:v>
                </c:pt>
                <c:pt idx="7">
                  <c:v>0.25</c:v>
                </c:pt>
                <c:pt idx="8">
                  <c:v>#N/A</c:v>
                </c:pt>
                <c:pt idx="9">
                  <c:v>0.26</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0.15</c:v>
                </c:pt>
                <c:pt idx="2">
                  <c:v>#N/A</c:v>
                </c:pt>
                <c:pt idx="3">
                  <c:v>0</c:v>
                </c:pt>
                <c:pt idx="4">
                  <c:v>#N/A</c:v>
                </c:pt>
                <c:pt idx="5">
                  <c:v>0.53</c:v>
                </c:pt>
                <c:pt idx="6">
                  <c:v>#N/A</c:v>
                </c:pt>
                <c:pt idx="7">
                  <c:v>0.61</c:v>
                </c:pt>
                <c:pt idx="8">
                  <c:v>#N/A</c:v>
                </c:pt>
                <c:pt idx="9">
                  <c:v>0.61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0.06</c:v>
                </c:pt>
                <c:pt idx="2">
                  <c:v>#N/A</c:v>
                </c:pt>
                <c:pt idx="3">
                  <c:v>0.6</c:v>
                </c:pt>
                <c:pt idx="4">
                  <c:v>#N/A</c:v>
                </c:pt>
                <c:pt idx="5">
                  <c:v>0.97</c:v>
                </c:pt>
                <c:pt idx="6">
                  <c:v>#N/A</c:v>
                </c:pt>
                <c:pt idx="7">
                  <c:v>2.4900000000000002</c:v>
                </c:pt>
                <c:pt idx="8">
                  <c:v>#N/A</c:v>
                </c:pt>
                <c:pt idx="9">
                  <c:v>2.4900000000000002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4.22</c:v>
                </c:pt>
                <c:pt idx="2">
                  <c:v>#N/A</c:v>
                </c:pt>
                <c:pt idx="3">
                  <c:v>3.68</c:v>
                </c:pt>
                <c:pt idx="4">
                  <c:v>#N/A</c:v>
                </c:pt>
                <c:pt idx="5">
                  <c:v>4.2</c:v>
                </c:pt>
                <c:pt idx="6">
                  <c:v>#N/A</c:v>
                </c:pt>
                <c:pt idx="7">
                  <c:v>4.3</c:v>
                </c:pt>
                <c:pt idx="8">
                  <c:v>#N/A</c:v>
                </c:pt>
                <c:pt idx="9">
                  <c:v>4.8899999999999997</c:v>
                </c:pt>
              </c:numCache>
            </c:numRef>
          </c:val>
        </c:ser>
        <c:ser>
          <c:idx val="9"/>
          <c:order val="9"/>
          <c:tx>
            <c:strRef>
              <c:f>データシート!$A$36</c:f>
              <c:strCache>
                <c:ptCount val="1"/>
                <c:pt idx="0">
                  <c:v>長岡京市水道事業会計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10.1</c:v>
                </c:pt>
                <c:pt idx="2">
                  <c:v>#N/A</c:v>
                </c:pt>
                <c:pt idx="3">
                  <c:v>10.44</c:v>
                </c:pt>
                <c:pt idx="4">
                  <c:v>#N/A</c:v>
                </c:pt>
                <c:pt idx="5">
                  <c:v>10.17</c:v>
                </c:pt>
                <c:pt idx="6">
                  <c:v>#N/A</c:v>
                </c:pt>
                <c:pt idx="7">
                  <c:v>11.11</c:v>
                </c:pt>
                <c:pt idx="8">
                  <c:v>#N/A</c:v>
                </c:pt>
                <c:pt idx="9">
                  <c:v>9.9700000000000006</c:v>
                </c:pt>
              </c:numCache>
            </c:numRef>
          </c:val>
        </c:ser>
        <c:dLbls>
          <c:showLegendKey val="0"/>
          <c:showVal val="0"/>
          <c:showCatName val="0"/>
          <c:showSerName val="0"/>
          <c:showPercent val="0"/>
          <c:showBubbleSize val="0"/>
        </c:dLbls>
        <c:gapWidth val="150"/>
        <c:overlap val="100"/>
        <c:axId val="77125120"/>
        <c:axId val="77126656"/>
      </c:barChart>
      <c:catAx>
        <c:axId val="7712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126656"/>
        <c:crosses val="autoZero"/>
        <c:auto val="1"/>
        <c:lblAlgn val="ctr"/>
        <c:lblOffset val="100"/>
        <c:tickLblSkip val="1"/>
        <c:tickMarkSkip val="1"/>
        <c:noMultiLvlLbl val="0"/>
      </c:catAx>
      <c:valAx>
        <c:axId val="7712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125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2739</c:v>
                </c:pt>
                <c:pt idx="5">
                  <c:v>2851</c:v>
                </c:pt>
                <c:pt idx="8">
                  <c:v>2844</c:v>
                </c:pt>
                <c:pt idx="11">
                  <c:v>2863</c:v>
                </c:pt>
                <c:pt idx="14">
                  <c:v>3008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353</c:v>
                </c:pt>
                <c:pt idx="3">
                  <c:v>38</c:v>
                </c:pt>
                <c:pt idx="6">
                  <c:v>42</c:v>
                </c:pt>
                <c:pt idx="9">
                  <c:v>63</c:v>
                </c:pt>
                <c:pt idx="12">
                  <c:v>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284</c:v>
                </c:pt>
                <c:pt idx="3">
                  <c:v>283</c:v>
                </c:pt>
                <c:pt idx="6">
                  <c:v>268</c:v>
                </c:pt>
                <c:pt idx="9">
                  <c:v>236</c:v>
                </c:pt>
                <c:pt idx="12">
                  <c:v>265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665</c:v>
                </c:pt>
                <c:pt idx="3">
                  <c:v>664</c:v>
                </c:pt>
                <c:pt idx="6">
                  <c:v>651</c:v>
                </c:pt>
                <c:pt idx="9">
                  <c:v>662</c:v>
                </c:pt>
                <c:pt idx="12">
                  <c:v>673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2211</c:v>
                </c:pt>
                <c:pt idx="3">
                  <c:v>2107</c:v>
                </c:pt>
                <c:pt idx="6">
                  <c:v>2074</c:v>
                </c:pt>
                <c:pt idx="9">
                  <c:v>2067</c:v>
                </c:pt>
                <c:pt idx="12">
                  <c:v>2152</c:v>
                </c:pt>
              </c:numCache>
            </c:numRef>
          </c:val>
        </c:ser>
        <c:dLbls>
          <c:showLegendKey val="0"/>
          <c:showVal val="0"/>
          <c:showCatName val="0"/>
          <c:showSerName val="0"/>
          <c:showPercent val="0"/>
          <c:showBubbleSize val="0"/>
        </c:dLbls>
        <c:gapWidth val="100"/>
        <c:overlap val="100"/>
        <c:axId val="77241344"/>
        <c:axId val="77243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774</c:v>
                </c:pt>
                <c:pt idx="2">
                  <c:v>#N/A</c:v>
                </c:pt>
                <c:pt idx="3">
                  <c:v>#N/A</c:v>
                </c:pt>
                <c:pt idx="4">
                  <c:v>241</c:v>
                </c:pt>
                <c:pt idx="5">
                  <c:v>#N/A</c:v>
                </c:pt>
                <c:pt idx="6">
                  <c:v>#N/A</c:v>
                </c:pt>
                <c:pt idx="7">
                  <c:v>191</c:v>
                </c:pt>
                <c:pt idx="8">
                  <c:v>#N/A</c:v>
                </c:pt>
                <c:pt idx="9">
                  <c:v>#N/A</c:v>
                </c:pt>
                <c:pt idx="10">
                  <c:v>165</c:v>
                </c:pt>
                <c:pt idx="11">
                  <c:v>#N/A</c:v>
                </c:pt>
                <c:pt idx="12">
                  <c:v>#N/A</c:v>
                </c:pt>
                <c:pt idx="13">
                  <c:v>146</c:v>
                </c:pt>
                <c:pt idx="14">
                  <c:v>#N/A</c:v>
                </c:pt>
              </c:numCache>
            </c:numRef>
          </c:val>
          <c:smooth val="0"/>
        </c:ser>
        <c:dLbls>
          <c:showLegendKey val="0"/>
          <c:showVal val="0"/>
          <c:showCatName val="0"/>
          <c:showSerName val="0"/>
          <c:showPercent val="0"/>
          <c:showBubbleSize val="0"/>
        </c:dLbls>
        <c:marker val="1"/>
        <c:smooth val="0"/>
        <c:axId val="77241344"/>
        <c:axId val="77243520"/>
      </c:lineChart>
      <c:catAx>
        <c:axId val="7724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243520"/>
        <c:crosses val="autoZero"/>
        <c:auto val="1"/>
        <c:lblAlgn val="ctr"/>
        <c:lblOffset val="100"/>
        <c:tickLblSkip val="1"/>
        <c:tickMarkSkip val="1"/>
        <c:noMultiLvlLbl val="0"/>
      </c:catAx>
      <c:valAx>
        <c:axId val="7724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24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26430</c:v>
                </c:pt>
                <c:pt idx="5">
                  <c:v>26825</c:v>
                </c:pt>
                <c:pt idx="8">
                  <c:v>27173</c:v>
                </c:pt>
                <c:pt idx="11">
                  <c:v>28129</c:v>
                </c:pt>
                <c:pt idx="14">
                  <c:v>28605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8894</c:v>
                </c:pt>
                <c:pt idx="5">
                  <c:v>8620</c:v>
                </c:pt>
                <c:pt idx="8">
                  <c:v>8448</c:v>
                </c:pt>
                <c:pt idx="11">
                  <c:v>8471</c:v>
                </c:pt>
                <c:pt idx="14">
                  <c:v>8179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4087</c:v>
                </c:pt>
                <c:pt idx="5">
                  <c:v>4063</c:v>
                </c:pt>
                <c:pt idx="8">
                  <c:v>4172</c:v>
                </c:pt>
                <c:pt idx="11">
                  <c:v>5012</c:v>
                </c:pt>
                <c:pt idx="14">
                  <c:v>5090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20</c:v>
                </c:pt>
                <c:pt idx="3">
                  <c:v>10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6124</c:v>
                </c:pt>
                <c:pt idx="3">
                  <c:v>5532</c:v>
                </c:pt>
                <c:pt idx="6">
                  <c:v>4923</c:v>
                </c:pt>
                <c:pt idx="9">
                  <c:v>4769</c:v>
                </c:pt>
                <c:pt idx="12">
                  <c:v>4181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1592</c:v>
                </c:pt>
                <c:pt idx="3">
                  <c:v>1779</c:v>
                </c:pt>
                <c:pt idx="6">
                  <c:v>1726</c:v>
                </c:pt>
                <c:pt idx="9">
                  <c:v>1493</c:v>
                </c:pt>
                <c:pt idx="12">
                  <c:v>1453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11121</c:v>
                </c:pt>
                <c:pt idx="3">
                  <c:v>10632</c:v>
                </c:pt>
                <c:pt idx="6">
                  <c:v>10147</c:v>
                </c:pt>
                <c:pt idx="9">
                  <c:v>9911</c:v>
                </c:pt>
                <c:pt idx="12">
                  <c:v>9717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383</c:v>
                </c:pt>
                <c:pt idx="3">
                  <c:v>328</c:v>
                </c:pt>
                <c:pt idx="6">
                  <c:v>328</c:v>
                </c:pt>
                <c:pt idx="9">
                  <c:v>417</c:v>
                </c:pt>
                <c:pt idx="12">
                  <c:v>423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22524</c:v>
                </c:pt>
                <c:pt idx="3">
                  <c:v>23243</c:v>
                </c:pt>
                <c:pt idx="6">
                  <c:v>23652</c:v>
                </c:pt>
                <c:pt idx="9">
                  <c:v>25236</c:v>
                </c:pt>
                <c:pt idx="12">
                  <c:v>26520</c:v>
                </c:pt>
              </c:numCache>
            </c:numRef>
          </c:val>
        </c:ser>
        <c:dLbls>
          <c:showLegendKey val="0"/>
          <c:showVal val="0"/>
          <c:showCatName val="0"/>
          <c:showSerName val="0"/>
          <c:showPercent val="0"/>
          <c:showBubbleSize val="0"/>
        </c:dLbls>
        <c:gapWidth val="100"/>
        <c:overlap val="100"/>
        <c:axId val="78402304"/>
        <c:axId val="78404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2353</c:v>
                </c:pt>
                <c:pt idx="2">
                  <c:v>#N/A</c:v>
                </c:pt>
                <c:pt idx="3">
                  <c:v>#N/A</c:v>
                </c:pt>
                <c:pt idx="4">
                  <c:v>2015</c:v>
                </c:pt>
                <c:pt idx="5">
                  <c:v>#N/A</c:v>
                </c:pt>
                <c:pt idx="6">
                  <c:v>#N/A</c:v>
                </c:pt>
                <c:pt idx="7">
                  <c:v>983</c:v>
                </c:pt>
                <c:pt idx="8">
                  <c:v>#N/A</c:v>
                </c:pt>
                <c:pt idx="9">
                  <c:v>#N/A</c:v>
                </c:pt>
                <c:pt idx="10">
                  <c:v>213</c:v>
                </c:pt>
                <c:pt idx="11">
                  <c:v>#N/A</c:v>
                </c:pt>
                <c:pt idx="12">
                  <c:v>#N/A</c:v>
                </c:pt>
                <c:pt idx="13">
                  <c:v>419</c:v>
                </c:pt>
                <c:pt idx="14">
                  <c:v>#N/A</c:v>
                </c:pt>
              </c:numCache>
            </c:numRef>
          </c:val>
          <c:smooth val="0"/>
        </c:ser>
        <c:dLbls>
          <c:showLegendKey val="0"/>
          <c:showVal val="0"/>
          <c:showCatName val="0"/>
          <c:showSerName val="0"/>
          <c:showPercent val="0"/>
          <c:showBubbleSize val="0"/>
        </c:dLbls>
        <c:marker val="1"/>
        <c:smooth val="0"/>
        <c:axId val="78402304"/>
        <c:axId val="78404224"/>
      </c:lineChart>
      <c:catAx>
        <c:axId val="7840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8404224"/>
        <c:crosses val="autoZero"/>
        <c:auto val="1"/>
        <c:lblAlgn val="ctr"/>
        <c:lblOffset val="100"/>
        <c:tickLblSkip val="1"/>
        <c:tickMarkSkip val="1"/>
        <c:noMultiLvlLbl val="0"/>
      </c:catAx>
      <c:valAx>
        <c:axId val="7840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40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京都府長岡京市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80,222
79,665
19.17
28,361,021
27,437,756
791,193
15,856,430
26,519,549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a:rPr>
            <a:t>大手企業の集中等により法人市民税をはじめとして一定の税収があるため、</a:t>
          </a:r>
          <a:endParaRPr kumimoji="1" lang="en-US" altLang="ja-JP" sz="1300">
            <a:latin typeface="ＭＳ Ｐゴシック"/>
          </a:endParaRPr>
        </a:p>
        <a:p>
          <a:pPr algn="l"/>
          <a:r>
            <a:rPr kumimoji="1" lang="ja-JP" altLang="en-US" sz="1300">
              <a:latin typeface="ＭＳ Ｐゴシック"/>
            </a:rPr>
            <a:t>０．８３となっている。平成２６年度は前年度より＋０．１ポイントとなったものの、近年の傾向としては低下傾向にあるため、税の徴収強化等による歳入確保に努める。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137160</xdr:rowOff>
    </xdr:from>
    <xdr:to>
      <xdr:col>7</xdr:col>
      <xdr:colOff>152400</xdr:colOff>
      <xdr:row>45</xdr:row>
      <xdr:rowOff>17780</xdr:rowOff>
    </xdr:to>
    <xdr:cxnSp macro="">
      <xdr:nvCxnSpPr>
        <xdr:cNvPr id="60" name="直線コネクタ 59"/>
        <xdr:cNvCxnSpPr/>
      </xdr:nvCxnSpPr>
      <xdr:spPr>
        <a:xfrm flipV="1">
          <a:off x="4953000" y="630936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161307</xdr:rowOff>
    </xdr:from>
    <xdr:ext cx="762000" cy="259045"/>
    <xdr:sp macro="" textlink="">
      <xdr:nvSpPr>
        <xdr:cNvPr id="61"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45</xdr:row>
      <xdr:rowOff>17780</xdr:rowOff>
    </xdr:from>
    <xdr:to>
      <xdr:col>7</xdr:col>
      <xdr:colOff>241300</xdr:colOff>
      <xdr:row>45</xdr:row>
      <xdr:rowOff>17780</xdr:rowOff>
    </xdr:to>
    <xdr:cxnSp macro="">
      <xdr:nvCxnSpPr>
        <xdr:cNvPr id="62" name="直線コネクタ 61"/>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52087</xdr:rowOff>
    </xdr:from>
    <xdr:ext cx="762000" cy="259045"/>
    <xdr:sp macro="" textlink="">
      <xdr:nvSpPr>
        <xdr:cNvPr id="63"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137160</xdr:rowOff>
    </xdr:from>
    <xdr:to>
      <xdr:col>7</xdr:col>
      <xdr:colOff>241300</xdr:colOff>
      <xdr:row>36</xdr:row>
      <xdr:rowOff>137160</xdr:rowOff>
    </xdr:to>
    <xdr:cxnSp macro="">
      <xdr:nvCxnSpPr>
        <xdr:cNvPr id="64" name="直線コネクタ 63"/>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156210</xdr:rowOff>
    </xdr:from>
    <xdr:to>
      <xdr:col>7</xdr:col>
      <xdr:colOff>152400</xdr:colOff>
      <xdr:row>39</xdr:row>
      <xdr:rowOff>8890</xdr:rowOff>
    </xdr:to>
    <xdr:cxnSp macro="">
      <xdr:nvCxnSpPr>
        <xdr:cNvPr id="65" name="直線コネクタ 64"/>
        <xdr:cNvCxnSpPr/>
      </xdr:nvCxnSpPr>
      <xdr:spPr>
        <a:xfrm flipV="1">
          <a:off x="4114800" y="66713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69867</xdr:rowOff>
    </xdr:from>
    <xdr:ext cx="762000" cy="259045"/>
    <xdr:sp macro="" textlink="">
      <xdr:nvSpPr>
        <xdr:cNvPr id="66" name="財政力平均値テキスト"/>
        <xdr:cNvSpPr txBox="1"/>
      </xdr:nvSpPr>
      <xdr:spPr>
        <a:xfrm>
          <a:off x="5041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67" name="フローチャート : 判断 66"/>
        <xdr:cNvSpPr/>
      </xdr:nvSpPr>
      <xdr:spPr>
        <a:xfrm>
          <a:off x="4902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156210</xdr:rowOff>
    </xdr:from>
    <xdr:to>
      <xdr:col>6</xdr:col>
      <xdr:colOff>0</xdr:colOff>
      <xdr:row>39</xdr:row>
      <xdr:rowOff>8890</xdr:rowOff>
    </xdr:to>
    <xdr:cxnSp macro="">
      <xdr:nvCxnSpPr>
        <xdr:cNvPr id="68" name="直線コネクタ 67"/>
        <xdr:cNvCxnSpPr/>
      </xdr:nvCxnSpPr>
      <xdr:spPr>
        <a:xfrm>
          <a:off x="3225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69" name="フローチャート : 判断 68"/>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0" name="テキスト ボックス 69"/>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107950</xdr:rowOff>
    </xdr:from>
    <xdr:to>
      <xdr:col>4</xdr:col>
      <xdr:colOff>482600</xdr:colOff>
      <xdr:row>38</xdr:row>
      <xdr:rowOff>156210</xdr:rowOff>
    </xdr:to>
    <xdr:cxnSp macro="">
      <xdr:nvCxnSpPr>
        <xdr:cNvPr id="71" name="直線コネクタ 70"/>
        <xdr:cNvCxnSpPr/>
      </xdr:nvCxnSpPr>
      <xdr:spPr>
        <a:xfrm>
          <a:off x="2336800" y="66230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2" name="フローチャート : 判断 71"/>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3" name="テキスト ボックス 72"/>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11430</xdr:rowOff>
    </xdr:from>
    <xdr:to>
      <xdr:col>3</xdr:col>
      <xdr:colOff>279400</xdr:colOff>
      <xdr:row>38</xdr:row>
      <xdr:rowOff>107950</xdr:rowOff>
    </xdr:to>
    <xdr:cxnSp macro="">
      <xdr:nvCxnSpPr>
        <xdr:cNvPr id="74" name="直線コネクタ 73"/>
        <xdr:cNvCxnSpPr/>
      </xdr:nvCxnSpPr>
      <xdr:spPr>
        <a:xfrm>
          <a:off x="1447800" y="65265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5" name="フローチャート : 判断 74"/>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6" name="テキスト ボックス 75"/>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129540</xdr:rowOff>
    </xdr:from>
    <xdr:to>
      <xdr:col>2</xdr:col>
      <xdr:colOff>127000</xdr:colOff>
      <xdr:row>39</xdr:row>
      <xdr:rowOff>59690</xdr:rowOff>
    </xdr:to>
    <xdr:sp macro="" textlink="">
      <xdr:nvSpPr>
        <xdr:cNvPr id="77" name="フローチャート : 判断 76"/>
        <xdr:cNvSpPr/>
      </xdr:nvSpPr>
      <xdr:spPr>
        <a:xfrm>
          <a:off x="1397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44467</xdr:rowOff>
    </xdr:from>
    <xdr:ext cx="762000" cy="259045"/>
    <xdr:sp macro="" textlink="">
      <xdr:nvSpPr>
        <xdr:cNvPr id="78" name="テキスト ボックス 77"/>
        <xdr:cNvSpPr txBox="1"/>
      </xdr:nvSpPr>
      <xdr:spPr>
        <a:xfrm>
          <a:off x="1066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105410</xdr:rowOff>
    </xdr:from>
    <xdr:to>
      <xdr:col>7</xdr:col>
      <xdr:colOff>203200</xdr:colOff>
      <xdr:row>39</xdr:row>
      <xdr:rowOff>35560</xdr:rowOff>
    </xdr:to>
    <xdr:sp macro="" textlink="">
      <xdr:nvSpPr>
        <xdr:cNvPr id="84" name="円/楕円 83"/>
        <xdr:cNvSpPr/>
      </xdr:nvSpPr>
      <xdr:spPr>
        <a:xfrm>
          <a:off x="4902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121937</xdr:rowOff>
    </xdr:from>
    <xdr:ext cx="762000" cy="259045"/>
    <xdr:sp macro="" textlink="">
      <xdr:nvSpPr>
        <xdr:cNvPr id="85" name="財政力該当値テキスト"/>
        <xdr:cNvSpPr txBox="1"/>
      </xdr:nvSpPr>
      <xdr:spPr>
        <a:xfrm>
          <a:off x="5041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129540</xdr:rowOff>
    </xdr:from>
    <xdr:to>
      <xdr:col>6</xdr:col>
      <xdr:colOff>50800</xdr:colOff>
      <xdr:row>39</xdr:row>
      <xdr:rowOff>59690</xdr:rowOff>
    </xdr:to>
    <xdr:sp macro="" textlink="">
      <xdr:nvSpPr>
        <xdr:cNvPr id="86" name="円/楕円 85"/>
        <xdr:cNvSpPr/>
      </xdr:nvSpPr>
      <xdr:spPr>
        <a:xfrm>
          <a:off x="406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69867</xdr:rowOff>
    </xdr:from>
    <xdr:ext cx="736600" cy="259045"/>
    <xdr:sp macro="" textlink="">
      <xdr:nvSpPr>
        <xdr:cNvPr id="87" name="テキスト ボックス 86"/>
        <xdr:cNvSpPr txBox="1"/>
      </xdr:nvSpPr>
      <xdr:spPr>
        <a:xfrm>
          <a:off x="3733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105410</xdr:rowOff>
    </xdr:from>
    <xdr:to>
      <xdr:col>4</xdr:col>
      <xdr:colOff>533400</xdr:colOff>
      <xdr:row>39</xdr:row>
      <xdr:rowOff>35560</xdr:rowOff>
    </xdr:to>
    <xdr:sp macro="" textlink="">
      <xdr:nvSpPr>
        <xdr:cNvPr id="88" name="円/楕円 87"/>
        <xdr:cNvSpPr/>
      </xdr:nvSpPr>
      <xdr:spPr>
        <a:xfrm>
          <a:off x="3175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45737</xdr:rowOff>
    </xdr:from>
    <xdr:ext cx="762000" cy="259045"/>
    <xdr:sp macro="" textlink="">
      <xdr:nvSpPr>
        <xdr:cNvPr id="89" name="テキスト ボックス 88"/>
        <xdr:cNvSpPr txBox="1"/>
      </xdr:nvSpPr>
      <xdr:spPr>
        <a:xfrm>
          <a:off x="2844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0" name="円/楕円 89"/>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1" name="テキスト ボックス 90"/>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132080</xdr:rowOff>
    </xdr:from>
    <xdr:to>
      <xdr:col>2</xdr:col>
      <xdr:colOff>127000</xdr:colOff>
      <xdr:row>38</xdr:row>
      <xdr:rowOff>62230</xdr:rowOff>
    </xdr:to>
    <xdr:sp macro="" textlink="">
      <xdr:nvSpPr>
        <xdr:cNvPr id="92" name="円/楕円 91"/>
        <xdr:cNvSpPr/>
      </xdr:nvSpPr>
      <xdr:spPr>
        <a:xfrm>
          <a:off x="1397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72407</xdr:rowOff>
    </xdr:from>
    <xdr:ext cx="762000" cy="259045"/>
    <xdr:sp macro="" textlink="">
      <xdr:nvSpPr>
        <xdr:cNvPr id="93" name="テキスト ボックス 92"/>
        <xdr:cNvSpPr txBox="1"/>
      </xdr:nvSpPr>
      <xdr:spPr>
        <a:xfrm>
          <a:off x="1066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職員数の削減による人件費の減など、経常経費の見直しをおこなっているが、依然として高い水準となっているため、引き続き改善に向けて取り組んでいく。</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162378</xdr:rowOff>
    </xdr:from>
    <xdr:to>
      <xdr:col>7</xdr:col>
      <xdr:colOff>152400</xdr:colOff>
      <xdr:row>67</xdr:row>
      <xdr:rowOff>112183</xdr:rowOff>
    </xdr:to>
    <xdr:cxnSp macro="">
      <xdr:nvCxnSpPr>
        <xdr:cNvPr id="125" name="直線コネクタ 124"/>
        <xdr:cNvCxnSpPr/>
      </xdr:nvCxnSpPr>
      <xdr:spPr>
        <a:xfrm flipV="1">
          <a:off x="4953000" y="1027792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6"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7" name="直線コネクタ 126"/>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77305</xdr:rowOff>
    </xdr:from>
    <xdr:ext cx="762000" cy="259045"/>
    <xdr:sp macro="" textlink="">
      <xdr:nvSpPr>
        <xdr:cNvPr id="128" name="財政構造の弾力性最大値テキスト"/>
        <xdr:cNvSpPr txBox="1"/>
      </xdr:nvSpPr>
      <xdr:spPr>
        <a:xfrm>
          <a:off x="5041900" y="10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93.0</a:t>
          </a:r>
          <a:endParaRPr kumimoji="1" lang="ja-JP" altLang="en-US" sz="1000" b="1">
            <a:latin typeface="ＭＳ Ｐゴシック"/>
          </a:endParaRPr>
        </a:p>
      </xdr:txBody>
    </xdr:sp>
    <xdr:clientData/>
  </xdr:oneCellAnchor>
  <xdr:twoCellAnchor>
    <xdr:from>
      <xdr:col>7</xdr:col>
      <xdr:colOff>63500</xdr:colOff>
      <xdr:row>59</xdr:row>
      <xdr:rowOff>162378</xdr:rowOff>
    </xdr:from>
    <xdr:to>
      <xdr:col>7</xdr:col>
      <xdr:colOff>241300</xdr:colOff>
      <xdr:row>59</xdr:row>
      <xdr:rowOff>162378</xdr:rowOff>
    </xdr:to>
    <xdr:cxnSp macro="">
      <xdr:nvCxnSpPr>
        <xdr:cNvPr id="129" name="直線コネクタ 128"/>
        <xdr:cNvCxnSpPr/>
      </xdr:nvCxnSpPr>
      <xdr:spPr>
        <a:xfrm>
          <a:off x="4864100" y="1027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47474</xdr:rowOff>
    </xdr:from>
    <xdr:to>
      <xdr:col>7</xdr:col>
      <xdr:colOff>152400</xdr:colOff>
      <xdr:row>60</xdr:row>
      <xdr:rowOff>71362</xdr:rowOff>
    </xdr:to>
    <xdr:cxnSp macro="">
      <xdr:nvCxnSpPr>
        <xdr:cNvPr id="130" name="直線コネクタ 129"/>
        <xdr:cNvCxnSpPr/>
      </xdr:nvCxnSpPr>
      <xdr:spPr>
        <a:xfrm>
          <a:off x="4114800" y="10163024"/>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28925</xdr:rowOff>
    </xdr:from>
    <xdr:ext cx="762000" cy="259045"/>
    <xdr:sp macro="" textlink="">
      <xdr:nvSpPr>
        <xdr:cNvPr id="131" name="財政構造の弾力性平均値テキスト"/>
        <xdr:cNvSpPr txBox="1"/>
      </xdr:nvSpPr>
      <xdr:spPr>
        <a:xfrm>
          <a:off x="5041900" y="1065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56848</xdr:rowOff>
    </xdr:from>
    <xdr:to>
      <xdr:col>7</xdr:col>
      <xdr:colOff>203200</xdr:colOff>
      <xdr:row>62</xdr:row>
      <xdr:rowOff>158448</xdr:rowOff>
    </xdr:to>
    <xdr:sp macro="" textlink="">
      <xdr:nvSpPr>
        <xdr:cNvPr id="132" name="フローチャート : 判断 131"/>
        <xdr:cNvSpPr/>
      </xdr:nvSpPr>
      <xdr:spPr>
        <a:xfrm>
          <a:off x="4902200" y="1068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47474</xdr:rowOff>
    </xdr:from>
    <xdr:to>
      <xdr:col>6</xdr:col>
      <xdr:colOff>0</xdr:colOff>
      <xdr:row>60</xdr:row>
      <xdr:rowOff>140305</xdr:rowOff>
    </xdr:to>
    <xdr:cxnSp macro="">
      <xdr:nvCxnSpPr>
        <xdr:cNvPr id="133" name="直線コネクタ 132"/>
        <xdr:cNvCxnSpPr/>
      </xdr:nvCxnSpPr>
      <xdr:spPr>
        <a:xfrm flipV="1">
          <a:off x="3225800" y="10163024"/>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20562</xdr:rowOff>
    </xdr:from>
    <xdr:to>
      <xdr:col>6</xdr:col>
      <xdr:colOff>50800</xdr:colOff>
      <xdr:row>60</xdr:row>
      <xdr:rowOff>122162</xdr:rowOff>
    </xdr:to>
    <xdr:sp macro="" textlink="">
      <xdr:nvSpPr>
        <xdr:cNvPr id="134" name="フローチャート : 判断 133"/>
        <xdr:cNvSpPr/>
      </xdr:nvSpPr>
      <xdr:spPr>
        <a:xfrm>
          <a:off x="4064000" y="1030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106939</xdr:rowOff>
    </xdr:from>
    <xdr:ext cx="736600" cy="259045"/>
    <xdr:sp macro="" textlink="">
      <xdr:nvSpPr>
        <xdr:cNvPr id="135" name="テキスト ボックス 134"/>
        <xdr:cNvSpPr txBox="1"/>
      </xdr:nvSpPr>
      <xdr:spPr>
        <a:xfrm>
          <a:off x="3733800" y="10393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82852</xdr:rowOff>
    </xdr:from>
    <xdr:to>
      <xdr:col>4</xdr:col>
      <xdr:colOff>482600</xdr:colOff>
      <xdr:row>60</xdr:row>
      <xdr:rowOff>140305</xdr:rowOff>
    </xdr:to>
    <xdr:cxnSp macro="">
      <xdr:nvCxnSpPr>
        <xdr:cNvPr id="136" name="直線コネクタ 135"/>
        <xdr:cNvCxnSpPr/>
      </xdr:nvCxnSpPr>
      <xdr:spPr>
        <a:xfrm>
          <a:off x="2336800" y="103698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169938</xdr:rowOff>
    </xdr:from>
    <xdr:to>
      <xdr:col>4</xdr:col>
      <xdr:colOff>533400</xdr:colOff>
      <xdr:row>61</xdr:row>
      <xdr:rowOff>100088</xdr:rowOff>
    </xdr:to>
    <xdr:sp macro="" textlink="">
      <xdr:nvSpPr>
        <xdr:cNvPr id="137" name="フローチャート : 判断 136"/>
        <xdr:cNvSpPr/>
      </xdr:nvSpPr>
      <xdr:spPr>
        <a:xfrm>
          <a:off x="3175000" y="104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84865</xdr:rowOff>
    </xdr:from>
    <xdr:ext cx="762000" cy="259045"/>
    <xdr:sp macro="" textlink="">
      <xdr:nvSpPr>
        <xdr:cNvPr id="138" name="テキスト ボックス 137"/>
        <xdr:cNvSpPr txBox="1"/>
      </xdr:nvSpPr>
      <xdr:spPr>
        <a:xfrm>
          <a:off x="2844800" y="1054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58965</xdr:rowOff>
    </xdr:from>
    <xdr:to>
      <xdr:col>3</xdr:col>
      <xdr:colOff>279400</xdr:colOff>
      <xdr:row>60</xdr:row>
      <xdr:rowOff>82852</xdr:rowOff>
    </xdr:to>
    <xdr:cxnSp macro="">
      <xdr:nvCxnSpPr>
        <xdr:cNvPr id="139" name="直線コネクタ 138"/>
        <xdr:cNvCxnSpPr/>
      </xdr:nvCxnSpPr>
      <xdr:spPr>
        <a:xfrm>
          <a:off x="1447800" y="10174515"/>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44450</xdr:rowOff>
    </xdr:from>
    <xdr:to>
      <xdr:col>3</xdr:col>
      <xdr:colOff>330200</xdr:colOff>
      <xdr:row>61</xdr:row>
      <xdr:rowOff>146050</xdr:rowOff>
    </xdr:to>
    <xdr:sp macro="" textlink="">
      <xdr:nvSpPr>
        <xdr:cNvPr id="140" name="フローチャート : 判断 139"/>
        <xdr:cNvSpPr/>
      </xdr:nvSpPr>
      <xdr:spPr>
        <a:xfrm>
          <a:off x="2286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130827</xdr:rowOff>
    </xdr:from>
    <xdr:ext cx="762000" cy="259045"/>
    <xdr:sp macro="" textlink="">
      <xdr:nvSpPr>
        <xdr:cNvPr id="141" name="テキスト ボックス 140"/>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156633</xdr:rowOff>
    </xdr:from>
    <xdr:to>
      <xdr:col>2</xdr:col>
      <xdr:colOff>127000</xdr:colOff>
      <xdr:row>59</xdr:row>
      <xdr:rowOff>86783</xdr:rowOff>
    </xdr:to>
    <xdr:sp macro="" textlink="">
      <xdr:nvSpPr>
        <xdr:cNvPr id="142" name="フローチャート : 判断 141"/>
        <xdr:cNvSpPr/>
      </xdr:nvSpPr>
      <xdr:spPr>
        <a:xfrm>
          <a:off x="1397000" y="1010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96960</xdr:rowOff>
    </xdr:from>
    <xdr:ext cx="762000" cy="259045"/>
    <xdr:sp macro="" textlink="">
      <xdr:nvSpPr>
        <xdr:cNvPr id="143" name="テキスト ボックス 142"/>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20562</xdr:rowOff>
    </xdr:from>
    <xdr:to>
      <xdr:col>7</xdr:col>
      <xdr:colOff>203200</xdr:colOff>
      <xdr:row>60</xdr:row>
      <xdr:rowOff>122162</xdr:rowOff>
    </xdr:to>
    <xdr:sp macro="" textlink="">
      <xdr:nvSpPr>
        <xdr:cNvPr id="149" name="円/楕円 148"/>
        <xdr:cNvSpPr/>
      </xdr:nvSpPr>
      <xdr:spPr>
        <a:xfrm>
          <a:off x="49022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113289</xdr:rowOff>
    </xdr:from>
    <xdr:ext cx="762000" cy="259045"/>
    <xdr:sp macro="" textlink="">
      <xdr:nvSpPr>
        <xdr:cNvPr id="150" name="財政構造の弾力性該当値テキスト"/>
        <xdr:cNvSpPr txBox="1"/>
      </xdr:nvSpPr>
      <xdr:spPr>
        <a:xfrm>
          <a:off x="5041900" y="1022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168124</xdr:rowOff>
    </xdr:from>
    <xdr:to>
      <xdr:col>6</xdr:col>
      <xdr:colOff>50800</xdr:colOff>
      <xdr:row>59</xdr:row>
      <xdr:rowOff>98274</xdr:rowOff>
    </xdr:to>
    <xdr:sp macro="" textlink="">
      <xdr:nvSpPr>
        <xdr:cNvPr id="151" name="円/楕円 150"/>
        <xdr:cNvSpPr/>
      </xdr:nvSpPr>
      <xdr:spPr>
        <a:xfrm>
          <a:off x="4064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108451</xdr:rowOff>
    </xdr:from>
    <xdr:ext cx="736600" cy="259045"/>
    <xdr:sp macro="" textlink="">
      <xdr:nvSpPr>
        <xdr:cNvPr id="152" name="テキスト ボックス 151"/>
        <xdr:cNvSpPr txBox="1"/>
      </xdr:nvSpPr>
      <xdr:spPr>
        <a:xfrm>
          <a:off x="3733800" y="988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89505</xdr:rowOff>
    </xdr:from>
    <xdr:to>
      <xdr:col>4</xdr:col>
      <xdr:colOff>533400</xdr:colOff>
      <xdr:row>61</xdr:row>
      <xdr:rowOff>19655</xdr:rowOff>
    </xdr:to>
    <xdr:sp macro="" textlink="">
      <xdr:nvSpPr>
        <xdr:cNvPr id="153" name="円/楕円 152"/>
        <xdr:cNvSpPr/>
      </xdr:nvSpPr>
      <xdr:spPr>
        <a:xfrm>
          <a:off x="3175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29832</xdr:rowOff>
    </xdr:from>
    <xdr:ext cx="762000" cy="259045"/>
    <xdr:sp macro="" textlink="">
      <xdr:nvSpPr>
        <xdr:cNvPr id="154" name="テキスト ボックス 15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32052</xdr:rowOff>
    </xdr:from>
    <xdr:to>
      <xdr:col>3</xdr:col>
      <xdr:colOff>330200</xdr:colOff>
      <xdr:row>60</xdr:row>
      <xdr:rowOff>133652</xdr:rowOff>
    </xdr:to>
    <xdr:sp macro="" textlink="">
      <xdr:nvSpPr>
        <xdr:cNvPr id="155" name="円/楕円 154"/>
        <xdr:cNvSpPr/>
      </xdr:nvSpPr>
      <xdr:spPr>
        <a:xfrm>
          <a:off x="2286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143829</xdr:rowOff>
    </xdr:from>
    <xdr:ext cx="762000" cy="259045"/>
    <xdr:sp macro="" textlink="">
      <xdr:nvSpPr>
        <xdr:cNvPr id="156" name="テキスト ボックス 155"/>
        <xdr:cNvSpPr txBox="1"/>
      </xdr:nvSpPr>
      <xdr:spPr>
        <a:xfrm>
          <a:off x="1955800" y="1008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8165</xdr:rowOff>
    </xdr:from>
    <xdr:to>
      <xdr:col>2</xdr:col>
      <xdr:colOff>127000</xdr:colOff>
      <xdr:row>59</xdr:row>
      <xdr:rowOff>109765</xdr:rowOff>
    </xdr:to>
    <xdr:sp macro="" textlink="">
      <xdr:nvSpPr>
        <xdr:cNvPr id="157" name="円/楕円 156"/>
        <xdr:cNvSpPr/>
      </xdr:nvSpPr>
      <xdr:spPr>
        <a:xfrm>
          <a:off x="1397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94542</xdr:rowOff>
    </xdr:from>
    <xdr:ext cx="762000" cy="259045"/>
    <xdr:sp macro="" textlink="">
      <xdr:nvSpPr>
        <xdr:cNvPr id="158" name="テキスト ボックス 157"/>
        <xdr:cNvSpPr txBox="1"/>
      </xdr:nvSpPr>
      <xdr:spPr>
        <a:xfrm>
          <a:off x="10668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の決算額が低くなっている要因として、ゴミ処理業務や消防業務を一部事務組合で行っていることが挙げられる。一部事務組合の人件費・物件費等に充てる負担金を含めると人口１人当たりの金額は増加する。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9334</xdr:rowOff>
    </xdr:from>
    <xdr:to>
      <xdr:col>7</xdr:col>
      <xdr:colOff>152400</xdr:colOff>
      <xdr:row>89</xdr:row>
      <xdr:rowOff>86460</xdr:rowOff>
    </xdr:to>
    <xdr:cxnSp macro="">
      <xdr:nvCxnSpPr>
        <xdr:cNvPr id="188" name="直線コネクタ 187"/>
        <xdr:cNvCxnSpPr/>
      </xdr:nvCxnSpPr>
      <xdr:spPr>
        <a:xfrm flipV="1">
          <a:off x="4953000" y="13896784"/>
          <a:ext cx="0" cy="1448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58537</xdr:rowOff>
    </xdr:from>
    <xdr:ext cx="762000" cy="259045"/>
    <xdr:sp macro="" textlink="">
      <xdr:nvSpPr>
        <xdr:cNvPr id="189" name="人件費・物件費等の状況最小値テキスト"/>
        <xdr:cNvSpPr txBox="1"/>
      </xdr:nvSpPr>
      <xdr:spPr>
        <a:xfrm>
          <a:off x="5041900" y="1531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128,413</a:t>
          </a:r>
          <a:endParaRPr kumimoji="1" lang="ja-JP" altLang="en-US" sz="1000" b="1">
            <a:latin typeface="ＭＳ Ｐゴシック"/>
          </a:endParaRPr>
        </a:p>
      </xdr:txBody>
    </xdr:sp>
    <xdr:clientData/>
  </xdr:oneCellAnchor>
  <xdr:twoCellAnchor>
    <xdr:from>
      <xdr:col>7</xdr:col>
      <xdr:colOff>63500</xdr:colOff>
      <xdr:row>89</xdr:row>
      <xdr:rowOff>86460</xdr:rowOff>
    </xdr:from>
    <xdr:to>
      <xdr:col>7</xdr:col>
      <xdr:colOff>241300</xdr:colOff>
      <xdr:row>89</xdr:row>
      <xdr:rowOff>86460</xdr:rowOff>
    </xdr:to>
    <xdr:cxnSp macro="">
      <xdr:nvCxnSpPr>
        <xdr:cNvPr id="190" name="直線コネクタ 189"/>
        <xdr:cNvCxnSpPr/>
      </xdr:nvCxnSpPr>
      <xdr:spPr>
        <a:xfrm>
          <a:off x="4864100" y="153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95711</xdr:rowOff>
    </xdr:from>
    <xdr:ext cx="762000" cy="259045"/>
    <xdr:sp macro="" textlink="">
      <xdr:nvSpPr>
        <xdr:cNvPr id="191" name="人件費・物件費等の状況最大値テキスト"/>
        <xdr:cNvSpPr txBox="1"/>
      </xdr:nvSpPr>
      <xdr:spPr>
        <a:xfrm>
          <a:off x="5041900" y="1364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92,390</a:t>
          </a:r>
          <a:endParaRPr kumimoji="1" lang="ja-JP" altLang="en-US" sz="1000" b="1">
            <a:latin typeface="ＭＳ Ｐゴシック"/>
          </a:endParaRPr>
        </a:p>
      </xdr:txBody>
    </xdr:sp>
    <xdr:clientData/>
  </xdr:oneCellAnchor>
  <xdr:twoCellAnchor>
    <xdr:from>
      <xdr:col>7</xdr:col>
      <xdr:colOff>63500</xdr:colOff>
      <xdr:row>81</xdr:row>
      <xdr:rowOff>9334</xdr:rowOff>
    </xdr:from>
    <xdr:to>
      <xdr:col>7</xdr:col>
      <xdr:colOff>241300</xdr:colOff>
      <xdr:row>81</xdr:row>
      <xdr:rowOff>9334</xdr:rowOff>
    </xdr:to>
    <xdr:cxnSp macro="">
      <xdr:nvCxnSpPr>
        <xdr:cNvPr id="192" name="直線コネクタ 191"/>
        <xdr:cNvCxnSpPr/>
      </xdr:nvCxnSpPr>
      <xdr:spPr>
        <a:xfrm>
          <a:off x="4864100" y="1389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41193</xdr:rowOff>
    </xdr:from>
    <xdr:to>
      <xdr:col>7</xdr:col>
      <xdr:colOff>152400</xdr:colOff>
      <xdr:row>82</xdr:row>
      <xdr:rowOff>13712</xdr:rowOff>
    </xdr:to>
    <xdr:cxnSp macro="">
      <xdr:nvCxnSpPr>
        <xdr:cNvPr id="193" name="直線コネクタ 192"/>
        <xdr:cNvCxnSpPr/>
      </xdr:nvCxnSpPr>
      <xdr:spPr>
        <a:xfrm>
          <a:off x="4114800" y="13757193"/>
          <a:ext cx="838200" cy="31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121260</xdr:rowOff>
    </xdr:from>
    <xdr:ext cx="762000" cy="259045"/>
    <xdr:sp macro="" textlink="">
      <xdr:nvSpPr>
        <xdr:cNvPr id="194" name="人件費・物件費等の状況平均値テキスト"/>
        <xdr:cNvSpPr txBox="1"/>
      </xdr:nvSpPr>
      <xdr:spPr>
        <a:xfrm>
          <a:off x="5041900" y="14523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149183</xdr:rowOff>
    </xdr:from>
    <xdr:to>
      <xdr:col>7</xdr:col>
      <xdr:colOff>203200</xdr:colOff>
      <xdr:row>85</xdr:row>
      <xdr:rowOff>79333</xdr:rowOff>
    </xdr:to>
    <xdr:sp macro="" textlink="">
      <xdr:nvSpPr>
        <xdr:cNvPr id="195" name="フローチャート : 判断 194"/>
        <xdr:cNvSpPr/>
      </xdr:nvSpPr>
      <xdr:spPr>
        <a:xfrm>
          <a:off x="4902200" y="1455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41193</xdr:rowOff>
    </xdr:from>
    <xdr:to>
      <xdr:col>6</xdr:col>
      <xdr:colOff>0</xdr:colOff>
      <xdr:row>80</xdr:row>
      <xdr:rowOff>96853</xdr:rowOff>
    </xdr:to>
    <xdr:cxnSp macro="">
      <xdr:nvCxnSpPr>
        <xdr:cNvPr id="196" name="直線コネクタ 195"/>
        <xdr:cNvCxnSpPr/>
      </xdr:nvCxnSpPr>
      <xdr:spPr>
        <a:xfrm flipV="1">
          <a:off x="3225800" y="13757193"/>
          <a:ext cx="889000" cy="5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16227</xdr:rowOff>
    </xdr:from>
    <xdr:to>
      <xdr:col>6</xdr:col>
      <xdr:colOff>50800</xdr:colOff>
      <xdr:row>84</xdr:row>
      <xdr:rowOff>117827</xdr:rowOff>
    </xdr:to>
    <xdr:sp macro="" textlink="">
      <xdr:nvSpPr>
        <xdr:cNvPr id="197" name="フローチャート : 判断 196"/>
        <xdr:cNvSpPr/>
      </xdr:nvSpPr>
      <xdr:spPr>
        <a:xfrm>
          <a:off x="4064000" y="144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102604</xdr:rowOff>
    </xdr:from>
    <xdr:ext cx="736600" cy="259045"/>
    <xdr:sp macro="" textlink="">
      <xdr:nvSpPr>
        <xdr:cNvPr id="198" name="テキスト ボックス 197"/>
        <xdr:cNvSpPr txBox="1"/>
      </xdr:nvSpPr>
      <xdr:spPr>
        <a:xfrm>
          <a:off x="3733800" y="1450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96853</xdr:rowOff>
    </xdr:from>
    <xdr:to>
      <xdr:col>4</xdr:col>
      <xdr:colOff>482600</xdr:colOff>
      <xdr:row>81</xdr:row>
      <xdr:rowOff>106618</xdr:rowOff>
    </xdr:to>
    <xdr:cxnSp macro="">
      <xdr:nvCxnSpPr>
        <xdr:cNvPr id="199" name="直線コネクタ 198"/>
        <xdr:cNvCxnSpPr/>
      </xdr:nvCxnSpPr>
      <xdr:spPr>
        <a:xfrm flipV="1">
          <a:off x="2336800" y="13812853"/>
          <a:ext cx="889000" cy="1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33634</xdr:rowOff>
    </xdr:from>
    <xdr:to>
      <xdr:col>4</xdr:col>
      <xdr:colOff>533400</xdr:colOff>
      <xdr:row>85</xdr:row>
      <xdr:rowOff>135234</xdr:rowOff>
    </xdr:to>
    <xdr:sp macro="" textlink="">
      <xdr:nvSpPr>
        <xdr:cNvPr id="200" name="フローチャート : 判断 199"/>
        <xdr:cNvSpPr/>
      </xdr:nvSpPr>
      <xdr:spPr>
        <a:xfrm>
          <a:off x="3175000" y="146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120011</xdr:rowOff>
    </xdr:from>
    <xdr:ext cx="762000" cy="259045"/>
    <xdr:sp macro="" textlink="">
      <xdr:nvSpPr>
        <xdr:cNvPr id="201" name="テキスト ボックス 200"/>
        <xdr:cNvSpPr txBox="1"/>
      </xdr:nvSpPr>
      <xdr:spPr>
        <a:xfrm>
          <a:off x="2844800" y="1469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23893</xdr:rowOff>
    </xdr:from>
    <xdr:to>
      <xdr:col>3</xdr:col>
      <xdr:colOff>279400</xdr:colOff>
      <xdr:row>81</xdr:row>
      <xdr:rowOff>106618</xdr:rowOff>
    </xdr:to>
    <xdr:cxnSp macro="">
      <xdr:nvCxnSpPr>
        <xdr:cNvPr id="202" name="直線コネクタ 201"/>
        <xdr:cNvCxnSpPr/>
      </xdr:nvCxnSpPr>
      <xdr:spPr>
        <a:xfrm>
          <a:off x="1447800" y="13911343"/>
          <a:ext cx="889000" cy="8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89</xdr:row>
      <xdr:rowOff>85930</xdr:rowOff>
    </xdr:from>
    <xdr:to>
      <xdr:col>3</xdr:col>
      <xdr:colOff>330200</xdr:colOff>
      <xdr:row>90</xdr:row>
      <xdr:rowOff>16080</xdr:rowOff>
    </xdr:to>
    <xdr:sp macro="" textlink="">
      <xdr:nvSpPr>
        <xdr:cNvPr id="203" name="フローチャート : 判断 202"/>
        <xdr:cNvSpPr/>
      </xdr:nvSpPr>
      <xdr:spPr>
        <a:xfrm>
          <a:off x="2286000" y="1534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857</xdr:rowOff>
    </xdr:from>
    <xdr:ext cx="762000" cy="259045"/>
    <xdr:sp macro="" textlink="">
      <xdr:nvSpPr>
        <xdr:cNvPr id="204" name="テキスト ボックス 203"/>
        <xdr:cNvSpPr txBox="1"/>
      </xdr:nvSpPr>
      <xdr:spPr>
        <a:xfrm>
          <a:off x="1955800" y="1543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43828</xdr:rowOff>
    </xdr:from>
    <xdr:to>
      <xdr:col>2</xdr:col>
      <xdr:colOff>127000</xdr:colOff>
      <xdr:row>82</xdr:row>
      <xdr:rowOff>145428</xdr:rowOff>
    </xdr:to>
    <xdr:sp macro="" textlink="">
      <xdr:nvSpPr>
        <xdr:cNvPr id="205" name="フローチャート : 判断 204"/>
        <xdr:cNvSpPr/>
      </xdr:nvSpPr>
      <xdr:spPr>
        <a:xfrm>
          <a:off x="1397000" y="1410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130205</xdr:rowOff>
    </xdr:from>
    <xdr:ext cx="762000" cy="259045"/>
    <xdr:sp macro="" textlink="">
      <xdr:nvSpPr>
        <xdr:cNvPr id="206" name="テキスト ボックス 205"/>
        <xdr:cNvSpPr txBox="1"/>
      </xdr:nvSpPr>
      <xdr:spPr>
        <a:xfrm>
          <a:off x="1066800" y="1418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134362</xdr:rowOff>
    </xdr:from>
    <xdr:to>
      <xdr:col>7</xdr:col>
      <xdr:colOff>203200</xdr:colOff>
      <xdr:row>82</xdr:row>
      <xdr:rowOff>64512</xdr:rowOff>
    </xdr:to>
    <xdr:sp macro="" textlink="">
      <xdr:nvSpPr>
        <xdr:cNvPr id="212" name="円/楕円 211"/>
        <xdr:cNvSpPr/>
      </xdr:nvSpPr>
      <xdr:spPr>
        <a:xfrm>
          <a:off x="4902200" y="140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150889</xdr:rowOff>
    </xdr:from>
    <xdr:ext cx="762000" cy="259045"/>
    <xdr:sp macro="" textlink="">
      <xdr:nvSpPr>
        <xdr:cNvPr id="213" name="人件費・物件費等の状況該当値テキスト"/>
        <xdr:cNvSpPr txBox="1"/>
      </xdr:nvSpPr>
      <xdr:spPr>
        <a:xfrm>
          <a:off x="5041900" y="138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96,762</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161843</xdr:rowOff>
    </xdr:from>
    <xdr:to>
      <xdr:col>6</xdr:col>
      <xdr:colOff>50800</xdr:colOff>
      <xdr:row>80</xdr:row>
      <xdr:rowOff>91993</xdr:rowOff>
    </xdr:to>
    <xdr:sp macro="" textlink="">
      <xdr:nvSpPr>
        <xdr:cNvPr id="214" name="円/楕円 213"/>
        <xdr:cNvSpPr/>
      </xdr:nvSpPr>
      <xdr:spPr>
        <a:xfrm>
          <a:off x="4064000" y="137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102170</xdr:rowOff>
    </xdr:from>
    <xdr:ext cx="736600" cy="259045"/>
    <xdr:sp macro="" textlink="">
      <xdr:nvSpPr>
        <xdr:cNvPr id="215" name="テキスト ボックス 214"/>
        <xdr:cNvSpPr txBox="1"/>
      </xdr:nvSpPr>
      <xdr:spPr>
        <a:xfrm>
          <a:off x="3733800" y="13475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46053</xdr:rowOff>
    </xdr:from>
    <xdr:to>
      <xdr:col>4</xdr:col>
      <xdr:colOff>533400</xdr:colOff>
      <xdr:row>80</xdr:row>
      <xdr:rowOff>147653</xdr:rowOff>
    </xdr:to>
    <xdr:sp macro="" textlink="">
      <xdr:nvSpPr>
        <xdr:cNvPr id="216" name="円/楕円 215"/>
        <xdr:cNvSpPr/>
      </xdr:nvSpPr>
      <xdr:spPr>
        <a:xfrm>
          <a:off x="3175000" y="137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157830</xdr:rowOff>
    </xdr:from>
    <xdr:ext cx="762000" cy="259045"/>
    <xdr:sp macro="" textlink="">
      <xdr:nvSpPr>
        <xdr:cNvPr id="217" name="テキスト ボックス 216"/>
        <xdr:cNvSpPr txBox="1"/>
      </xdr:nvSpPr>
      <xdr:spPr>
        <a:xfrm>
          <a:off x="2844800" y="1353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90,303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55818</xdr:rowOff>
    </xdr:from>
    <xdr:to>
      <xdr:col>3</xdr:col>
      <xdr:colOff>330200</xdr:colOff>
      <xdr:row>81</xdr:row>
      <xdr:rowOff>157418</xdr:rowOff>
    </xdr:to>
    <xdr:sp macro="" textlink="">
      <xdr:nvSpPr>
        <xdr:cNvPr id="218" name="円/楕円 217"/>
        <xdr:cNvSpPr/>
      </xdr:nvSpPr>
      <xdr:spPr>
        <a:xfrm>
          <a:off x="2286000" y="139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167595</xdr:rowOff>
    </xdr:from>
    <xdr:ext cx="762000" cy="259045"/>
    <xdr:sp macro="" textlink="">
      <xdr:nvSpPr>
        <xdr:cNvPr id="219" name="テキスト ボックス 218"/>
        <xdr:cNvSpPr txBox="1"/>
      </xdr:nvSpPr>
      <xdr:spPr>
        <a:xfrm>
          <a:off x="1955800" y="1371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94,809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144543</xdr:rowOff>
    </xdr:from>
    <xdr:to>
      <xdr:col>2</xdr:col>
      <xdr:colOff>127000</xdr:colOff>
      <xdr:row>81</xdr:row>
      <xdr:rowOff>74693</xdr:rowOff>
    </xdr:to>
    <xdr:sp macro="" textlink="">
      <xdr:nvSpPr>
        <xdr:cNvPr id="220" name="円/楕円 219"/>
        <xdr:cNvSpPr/>
      </xdr:nvSpPr>
      <xdr:spPr>
        <a:xfrm>
          <a:off x="1397000" y="1386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84870</xdr:rowOff>
    </xdr:from>
    <xdr:ext cx="762000" cy="259045"/>
    <xdr:sp macro="" textlink="">
      <xdr:nvSpPr>
        <xdr:cNvPr id="221" name="テキスト ボックス 220"/>
        <xdr:cNvSpPr txBox="1"/>
      </xdr:nvSpPr>
      <xdr:spPr>
        <a:xfrm>
          <a:off x="1066800" y="136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 類似団体平均と比べ１．</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ポイント、全国市平均で比べると</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ポイント上回っている。これは、職員平均年齢が若くなり昇任するスピードが速まっていることなどが要因となっている。また、指数が１００．０を下回ったのは、大学卒の</a:t>
          </a:r>
          <a:r>
            <a:rPr kumimoji="1" lang="ja-JP" altLang="ja-JP" sz="1300">
              <a:solidFill>
                <a:sysClr val="windowText" lastClr="000000"/>
              </a:solidFill>
              <a:effectLst/>
              <a:latin typeface="+mn-lt"/>
              <a:ea typeface="+mn-ea"/>
              <a:cs typeface="+mn-cs"/>
            </a:rPr>
            <a:t>ラスパイレス指数が９８．３と低くなっていることが大きい。</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一方、地域間での給与水準に配慮して支給されている地域手当については、国基準では１２％のところを９％にしている。結果として、地域手当も含めたラスパイレス指数は９</a:t>
          </a:r>
          <a:r>
            <a:rPr kumimoji="1" lang="ja-JP" altLang="en-US" sz="1300">
              <a:solidFill>
                <a:sysClr val="windowText" lastClr="000000"/>
              </a:solidFill>
              <a:effectLst/>
              <a:latin typeface="+mn-lt"/>
              <a:ea typeface="+mn-ea"/>
              <a:cs typeface="+mn-cs"/>
            </a:rPr>
            <a:t>８</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となり、全国市平均</a:t>
          </a:r>
          <a:r>
            <a:rPr kumimoji="1" lang="ja-JP" altLang="en-US" sz="1300">
              <a:solidFill>
                <a:sysClr val="windowText" lastClr="000000"/>
              </a:solidFill>
              <a:effectLst/>
              <a:latin typeface="+mn-lt"/>
              <a:ea typeface="+mn-ea"/>
              <a:cs typeface="+mn-cs"/>
            </a:rPr>
            <a:t>を</a:t>
          </a:r>
          <a:r>
            <a:rPr kumimoji="1" lang="ja-JP" altLang="ja-JP" sz="1300">
              <a:solidFill>
                <a:sysClr val="windowText" lastClr="000000"/>
              </a:solidFill>
              <a:effectLst/>
              <a:latin typeface="+mn-lt"/>
              <a:ea typeface="+mn-ea"/>
              <a:cs typeface="+mn-cs"/>
            </a:rPr>
            <a:t>下回ることとなった。</a:t>
          </a:r>
          <a:endParaRPr lang="ja-JP" altLang="ja-JP" sz="13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85573</xdr:rowOff>
    </xdr:from>
    <xdr:to>
      <xdr:col>24</xdr:col>
      <xdr:colOff>558800</xdr:colOff>
      <xdr:row>85</xdr:row>
      <xdr:rowOff>77712</xdr:rowOff>
    </xdr:to>
    <xdr:cxnSp macro="">
      <xdr:nvCxnSpPr>
        <xdr:cNvPr id="252" name="直線コネクタ 251"/>
        <xdr:cNvCxnSpPr/>
      </xdr:nvCxnSpPr>
      <xdr:spPr>
        <a:xfrm flipV="1">
          <a:off x="17018000" y="13973023"/>
          <a:ext cx="0" cy="6779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49789</xdr:rowOff>
    </xdr:from>
    <xdr:ext cx="762000" cy="259045"/>
    <xdr:sp macro="" textlink="">
      <xdr:nvSpPr>
        <xdr:cNvPr id="253" name="給与水準   （国との比較）最小値テキスト"/>
        <xdr:cNvSpPr txBox="1"/>
      </xdr:nvSpPr>
      <xdr:spPr>
        <a:xfrm>
          <a:off x="17106900" y="1462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77712</xdr:rowOff>
    </xdr:from>
    <xdr:to>
      <xdr:col>24</xdr:col>
      <xdr:colOff>647700</xdr:colOff>
      <xdr:row>85</xdr:row>
      <xdr:rowOff>77712</xdr:rowOff>
    </xdr:to>
    <xdr:cxnSp macro="">
      <xdr:nvCxnSpPr>
        <xdr:cNvPr id="254" name="直線コネクタ 253"/>
        <xdr:cNvCxnSpPr/>
      </xdr:nvCxnSpPr>
      <xdr:spPr>
        <a:xfrm>
          <a:off x="16929100" y="146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81</xdr:row>
      <xdr:rowOff>85573</xdr:rowOff>
    </xdr:from>
    <xdr:to>
      <xdr:col>24</xdr:col>
      <xdr:colOff>647700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84</xdr:row>
      <xdr:rowOff>111277</xdr:rowOff>
    </xdr:to>
    <xdr:cxnSp macro="">
      <xdr:nvCxnSpPr>
        <xdr:cNvPr id="257" name="直線コネクタ 256"/>
        <xdr:cNvCxnSpPr/>
      </xdr:nvCxnSpPr>
      <xdr:spPr>
        <a:xfrm flipV="1">
          <a:off x="16179800" y="14467114"/>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8"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9" name="フローチャート : 判断 258"/>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111277</xdr:rowOff>
    </xdr:from>
    <xdr:to>
      <xdr:col>23</xdr:col>
      <xdr:colOff>406400</xdr:colOff>
      <xdr:row>89</xdr:row>
      <xdr:rowOff>138793</xdr:rowOff>
    </xdr:to>
    <xdr:cxnSp macro="">
      <xdr:nvCxnSpPr>
        <xdr:cNvPr id="260" name="直線コネクタ 259"/>
        <xdr:cNvCxnSpPr/>
      </xdr:nvCxnSpPr>
      <xdr:spPr>
        <a:xfrm flipV="1">
          <a:off x="15290800" y="14513077"/>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1" name="フローチャート : 判断 260"/>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2" name="テキスト ボックス 261"/>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138793</xdr:rowOff>
    </xdr:from>
    <xdr:to>
      <xdr:col>22</xdr:col>
      <xdr:colOff>203200</xdr:colOff>
      <xdr:row>90</xdr:row>
      <xdr:rowOff>93738</xdr:rowOff>
    </xdr:to>
    <xdr:cxnSp macro="">
      <xdr:nvCxnSpPr>
        <xdr:cNvPr id="263" name="直線コネクタ 262"/>
        <xdr:cNvCxnSpPr/>
      </xdr:nvCxnSpPr>
      <xdr:spPr>
        <a:xfrm flipV="1">
          <a:off x="14401800" y="153978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4" name="フローチャート : 判断 263"/>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4432</xdr:rowOff>
    </xdr:from>
    <xdr:ext cx="762000" cy="259045"/>
    <xdr:sp macro="" textlink="">
      <xdr:nvSpPr>
        <xdr:cNvPr id="265" name="テキスト ボックス 264"/>
        <xdr:cNvSpPr txBox="1"/>
      </xdr:nvSpPr>
      <xdr:spPr>
        <a:xfrm>
          <a:off x="14909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134257</xdr:rowOff>
    </xdr:from>
    <xdr:to>
      <xdr:col>21</xdr:col>
      <xdr:colOff>0</xdr:colOff>
      <xdr:row>90</xdr:row>
      <xdr:rowOff>93738</xdr:rowOff>
    </xdr:to>
    <xdr:cxnSp macro="">
      <xdr:nvCxnSpPr>
        <xdr:cNvPr id="266" name="直線コネクタ 265"/>
        <xdr:cNvCxnSpPr/>
      </xdr:nvCxnSpPr>
      <xdr:spPr>
        <a:xfrm>
          <a:off x="13512800" y="14536057"/>
          <a:ext cx="889000" cy="98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7" name="フローチャート : 判断 266"/>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68" name="テキスト ボックス 267"/>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140002</xdr:rowOff>
    </xdr:from>
    <xdr:to>
      <xdr:col>19</xdr:col>
      <xdr:colOff>533400</xdr:colOff>
      <xdr:row>84</xdr:row>
      <xdr:rowOff>70152</xdr:rowOff>
    </xdr:to>
    <xdr:sp macro="" textlink="">
      <xdr:nvSpPr>
        <xdr:cNvPr id="269" name="フローチャート : 判断 268"/>
        <xdr:cNvSpPr/>
      </xdr:nvSpPr>
      <xdr:spPr>
        <a:xfrm>
          <a:off x="13462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80329</xdr:rowOff>
    </xdr:from>
    <xdr:ext cx="762000" cy="259045"/>
    <xdr:sp macro="" textlink="">
      <xdr:nvSpPr>
        <xdr:cNvPr id="270" name="テキスト ボックス 269"/>
        <xdr:cNvSpPr txBox="1"/>
      </xdr:nvSpPr>
      <xdr:spPr>
        <a:xfrm>
          <a:off x="13131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6" name="円/楕円 275"/>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158041</xdr:rowOff>
    </xdr:from>
    <xdr:ext cx="762000" cy="259045"/>
    <xdr:sp macro="" textlink="">
      <xdr:nvSpPr>
        <xdr:cNvPr id="277" name="給与水準   （国との比較）該当値テキスト"/>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8" name="円/楕円 277"/>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79" name="テキスト ボックス 278"/>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87993</xdr:rowOff>
    </xdr:from>
    <xdr:to>
      <xdr:col>22</xdr:col>
      <xdr:colOff>254000</xdr:colOff>
      <xdr:row>90</xdr:row>
      <xdr:rowOff>18143</xdr:rowOff>
    </xdr:to>
    <xdr:sp macro="" textlink="">
      <xdr:nvSpPr>
        <xdr:cNvPr id="280" name="円/楕円 279"/>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2920</xdr:rowOff>
    </xdr:from>
    <xdr:ext cx="762000" cy="259045"/>
    <xdr:sp macro="" textlink="">
      <xdr:nvSpPr>
        <xdr:cNvPr id="281" name="テキスト ボックス 280"/>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42938</xdr:rowOff>
    </xdr:from>
    <xdr:to>
      <xdr:col>21</xdr:col>
      <xdr:colOff>50800</xdr:colOff>
      <xdr:row>90</xdr:row>
      <xdr:rowOff>144538</xdr:rowOff>
    </xdr:to>
    <xdr:sp macro="" textlink="">
      <xdr:nvSpPr>
        <xdr:cNvPr id="282" name="円/楕円 281"/>
        <xdr:cNvSpPr/>
      </xdr:nvSpPr>
      <xdr:spPr>
        <a:xfrm>
          <a:off x="14351000" y="154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129315</xdr:rowOff>
    </xdr:from>
    <xdr:ext cx="762000" cy="259045"/>
    <xdr:sp macro="" textlink="">
      <xdr:nvSpPr>
        <xdr:cNvPr id="283" name="テキスト ボックス 282"/>
        <xdr:cNvSpPr txBox="1"/>
      </xdr:nvSpPr>
      <xdr:spPr>
        <a:xfrm>
          <a:off x="14020800" y="155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83457</xdr:rowOff>
    </xdr:from>
    <xdr:to>
      <xdr:col>19</xdr:col>
      <xdr:colOff>533400</xdr:colOff>
      <xdr:row>85</xdr:row>
      <xdr:rowOff>13607</xdr:rowOff>
    </xdr:to>
    <xdr:sp macro="" textlink="">
      <xdr:nvSpPr>
        <xdr:cNvPr id="284" name="円/楕円 283"/>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169834</xdr:rowOff>
    </xdr:from>
    <xdr:ext cx="762000" cy="259045"/>
    <xdr:sp macro="" textlink="">
      <xdr:nvSpPr>
        <xdr:cNvPr id="285" name="テキスト ボックス 284"/>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　過去からの定員管理計画の執行により、類似団体平均を下回っている。今後は、第３次定員管理計画（平成２４年度～平成２８年度）の目標値である５６６人から１０人（１．８％）減の５５６人に向けて定員管理参考指標の活用や各計画との期間の統一、部門ごとの目標値の設定等を行い、より一層効率的でスリムな組織体制を目指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11176</xdr:rowOff>
    </xdr:from>
    <xdr:to>
      <xdr:col>24</xdr:col>
      <xdr:colOff>558800</xdr:colOff>
      <xdr:row>67</xdr:row>
      <xdr:rowOff>80010</xdr:rowOff>
    </xdr:to>
    <xdr:cxnSp macro="">
      <xdr:nvCxnSpPr>
        <xdr:cNvPr id="313" name="直線コネクタ 312"/>
        <xdr:cNvCxnSpPr/>
      </xdr:nvCxnSpPr>
      <xdr:spPr>
        <a:xfrm flipV="1">
          <a:off x="17018000" y="9955276"/>
          <a:ext cx="0" cy="1611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52087</xdr:rowOff>
    </xdr:from>
    <xdr:ext cx="762000" cy="259045"/>
    <xdr:sp macro="" textlink="">
      <xdr:nvSpPr>
        <xdr:cNvPr id="31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24</xdr:col>
      <xdr:colOff>469900</xdr:colOff>
      <xdr:row>67</xdr:row>
      <xdr:rowOff>80010</xdr:rowOff>
    </xdr:from>
    <xdr:to>
      <xdr:col>24</xdr:col>
      <xdr:colOff>647700</xdr:colOff>
      <xdr:row>67</xdr:row>
      <xdr:rowOff>80010</xdr:rowOff>
    </xdr:to>
    <xdr:cxnSp macro="">
      <xdr:nvCxnSpPr>
        <xdr:cNvPr id="315" name="直線コネクタ 31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97553</xdr:rowOff>
    </xdr:from>
    <xdr:ext cx="762000" cy="259045"/>
    <xdr:sp macro="" textlink="">
      <xdr:nvSpPr>
        <xdr:cNvPr id="316" name="定員管理の状況最大値テキスト"/>
        <xdr:cNvSpPr txBox="1"/>
      </xdr:nvSpPr>
      <xdr:spPr>
        <a:xfrm>
          <a:off x="17106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24</xdr:col>
      <xdr:colOff>469900</xdr:colOff>
      <xdr:row>58</xdr:row>
      <xdr:rowOff>11176</xdr:rowOff>
    </xdr:from>
    <xdr:to>
      <xdr:col>24</xdr:col>
      <xdr:colOff>647700</xdr:colOff>
      <xdr:row>58</xdr:row>
      <xdr:rowOff>11176</xdr:rowOff>
    </xdr:to>
    <xdr:cxnSp macro="">
      <xdr:nvCxnSpPr>
        <xdr:cNvPr id="317" name="直線コネクタ 316"/>
        <xdr:cNvCxnSpPr/>
      </xdr:nvCxnSpPr>
      <xdr:spPr>
        <a:xfrm>
          <a:off x="16929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109982</xdr:rowOff>
    </xdr:from>
    <xdr:to>
      <xdr:col>24</xdr:col>
      <xdr:colOff>558800</xdr:colOff>
      <xdr:row>59</xdr:row>
      <xdr:rowOff>119634</xdr:rowOff>
    </xdr:to>
    <xdr:cxnSp macro="">
      <xdr:nvCxnSpPr>
        <xdr:cNvPr id="318" name="直線コネクタ 317"/>
        <xdr:cNvCxnSpPr/>
      </xdr:nvCxnSpPr>
      <xdr:spPr>
        <a:xfrm flipV="1">
          <a:off x="16179800" y="102255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9161</xdr:rowOff>
    </xdr:from>
    <xdr:ext cx="762000" cy="259045"/>
    <xdr:sp macro="" textlink="">
      <xdr:nvSpPr>
        <xdr:cNvPr id="319" name="定員管理の状況平均値テキスト"/>
        <xdr:cNvSpPr txBox="1"/>
      </xdr:nvSpPr>
      <xdr:spPr>
        <a:xfrm>
          <a:off x="17106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37084</xdr:rowOff>
    </xdr:from>
    <xdr:to>
      <xdr:col>24</xdr:col>
      <xdr:colOff>609600</xdr:colOff>
      <xdr:row>62</xdr:row>
      <xdr:rowOff>138684</xdr:rowOff>
    </xdr:to>
    <xdr:sp macro="" textlink="">
      <xdr:nvSpPr>
        <xdr:cNvPr id="320" name="フローチャート : 判断 319"/>
        <xdr:cNvSpPr/>
      </xdr:nvSpPr>
      <xdr:spPr>
        <a:xfrm>
          <a:off x="16967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119634</xdr:rowOff>
    </xdr:from>
    <xdr:to>
      <xdr:col>23</xdr:col>
      <xdr:colOff>406400</xdr:colOff>
      <xdr:row>59</xdr:row>
      <xdr:rowOff>129286</xdr:rowOff>
    </xdr:to>
    <xdr:cxnSp macro="">
      <xdr:nvCxnSpPr>
        <xdr:cNvPr id="321" name="直線コネクタ 320"/>
        <xdr:cNvCxnSpPr/>
      </xdr:nvCxnSpPr>
      <xdr:spPr>
        <a:xfrm flipV="1">
          <a:off x="15290800" y="102351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66040</xdr:rowOff>
    </xdr:from>
    <xdr:to>
      <xdr:col>23</xdr:col>
      <xdr:colOff>457200</xdr:colOff>
      <xdr:row>62</xdr:row>
      <xdr:rowOff>167640</xdr:rowOff>
    </xdr:to>
    <xdr:sp macro="" textlink="">
      <xdr:nvSpPr>
        <xdr:cNvPr id="322" name="フローチャート : 判断 321"/>
        <xdr:cNvSpPr/>
      </xdr:nvSpPr>
      <xdr:spPr>
        <a:xfrm>
          <a:off x="16129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152417</xdr:rowOff>
    </xdr:from>
    <xdr:ext cx="736600" cy="259045"/>
    <xdr:sp macro="" textlink="">
      <xdr:nvSpPr>
        <xdr:cNvPr id="323" name="テキスト ボックス 322"/>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129286</xdr:rowOff>
    </xdr:from>
    <xdr:to>
      <xdr:col>22</xdr:col>
      <xdr:colOff>203200</xdr:colOff>
      <xdr:row>59</xdr:row>
      <xdr:rowOff>167894</xdr:rowOff>
    </xdr:to>
    <xdr:cxnSp macro="">
      <xdr:nvCxnSpPr>
        <xdr:cNvPr id="324" name="直線コネクタ 323"/>
        <xdr:cNvCxnSpPr/>
      </xdr:nvCxnSpPr>
      <xdr:spPr>
        <a:xfrm flipV="1">
          <a:off x="14401800" y="102448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133604</xdr:rowOff>
    </xdr:from>
    <xdr:to>
      <xdr:col>22</xdr:col>
      <xdr:colOff>254000</xdr:colOff>
      <xdr:row>63</xdr:row>
      <xdr:rowOff>63754</xdr:rowOff>
    </xdr:to>
    <xdr:sp macro="" textlink="">
      <xdr:nvSpPr>
        <xdr:cNvPr id="325" name="フローチャート : 判断 324"/>
        <xdr:cNvSpPr/>
      </xdr:nvSpPr>
      <xdr:spPr>
        <a:xfrm>
          <a:off x="15240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48531</xdr:rowOff>
    </xdr:from>
    <xdr:ext cx="762000" cy="259045"/>
    <xdr:sp macro="" textlink="">
      <xdr:nvSpPr>
        <xdr:cNvPr id="326" name="テキスト ボックス 325"/>
        <xdr:cNvSpPr txBox="1"/>
      </xdr:nvSpPr>
      <xdr:spPr>
        <a:xfrm>
          <a:off x="14909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167894</xdr:rowOff>
    </xdr:from>
    <xdr:to>
      <xdr:col>21</xdr:col>
      <xdr:colOff>0</xdr:colOff>
      <xdr:row>60</xdr:row>
      <xdr:rowOff>121920</xdr:rowOff>
    </xdr:to>
    <xdr:cxnSp macro="">
      <xdr:nvCxnSpPr>
        <xdr:cNvPr id="327" name="直線コネクタ 326"/>
        <xdr:cNvCxnSpPr/>
      </xdr:nvCxnSpPr>
      <xdr:spPr>
        <a:xfrm flipV="1">
          <a:off x="13512800" y="1028344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29718</xdr:rowOff>
    </xdr:from>
    <xdr:to>
      <xdr:col>21</xdr:col>
      <xdr:colOff>50800</xdr:colOff>
      <xdr:row>63</xdr:row>
      <xdr:rowOff>131318</xdr:rowOff>
    </xdr:to>
    <xdr:sp macro="" textlink="">
      <xdr:nvSpPr>
        <xdr:cNvPr id="328" name="フローチャート : 判断 327"/>
        <xdr:cNvSpPr/>
      </xdr:nvSpPr>
      <xdr:spPr>
        <a:xfrm>
          <a:off x="14351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116095</xdr:rowOff>
    </xdr:from>
    <xdr:ext cx="762000" cy="259045"/>
    <xdr:sp macro="" textlink="">
      <xdr:nvSpPr>
        <xdr:cNvPr id="329" name="テキスト ボックス 328"/>
        <xdr:cNvSpPr txBox="1"/>
      </xdr:nvSpPr>
      <xdr:spPr>
        <a:xfrm>
          <a:off x="14020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85852</xdr:rowOff>
    </xdr:from>
    <xdr:to>
      <xdr:col>19</xdr:col>
      <xdr:colOff>533400</xdr:colOff>
      <xdr:row>59</xdr:row>
      <xdr:rowOff>16002</xdr:rowOff>
    </xdr:to>
    <xdr:sp macro="" textlink="">
      <xdr:nvSpPr>
        <xdr:cNvPr id="330" name="フローチャート : 判断 329"/>
        <xdr:cNvSpPr/>
      </xdr:nvSpPr>
      <xdr:spPr>
        <a:xfrm>
          <a:off x="134620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26179</xdr:rowOff>
    </xdr:from>
    <xdr:ext cx="762000" cy="259045"/>
    <xdr:sp macro="" textlink="">
      <xdr:nvSpPr>
        <xdr:cNvPr id="331" name="テキスト ボックス 330"/>
        <xdr:cNvSpPr txBox="1"/>
      </xdr:nvSpPr>
      <xdr:spPr>
        <a:xfrm>
          <a:off x="13131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59182</xdr:rowOff>
    </xdr:from>
    <xdr:to>
      <xdr:col>24</xdr:col>
      <xdr:colOff>609600</xdr:colOff>
      <xdr:row>59</xdr:row>
      <xdr:rowOff>160782</xdr:rowOff>
    </xdr:to>
    <xdr:sp macro="" textlink="">
      <xdr:nvSpPr>
        <xdr:cNvPr id="337" name="円/楕円 336"/>
        <xdr:cNvSpPr/>
      </xdr:nvSpPr>
      <xdr:spPr>
        <a:xfrm>
          <a:off x="169672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75709</xdr:rowOff>
    </xdr:from>
    <xdr:ext cx="762000" cy="259045"/>
    <xdr:sp macro="" textlink="">
      <xdr:nvSpPr>
        <xdr:cNvPr id="338" name="定員管理の状況該当値テキスト"/>
        <xdr:cNvSpPr txBox="1"/>
      </xdr:nvSpPr>
      <xdr:spPr>
        <a:xfrm>
          <a:off x="171069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68834</xdr:rowOff>
    </xdr:from>
    <xdr:to>
      <xdr:col>23</xdr:col>
      <xdr:colOff>457200</xdr:colOff>
      <xdr:row>59</xdr:row>
      <xdr:rowOff>170434</xdr:rowOff>
    </xdr:to>
    <xdr:sp macro="" textlink="">
      <xdr:nvSpPr>
        <xdr:cNvPr id="339" name="円/楕円 338"/>
        <xdr:cNvSpPr/>
      </xdr:nvSpPr>
      <xdr:spPr>
        <a:xfrm>
          <a:off x="16129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9161</xdr:rowOff>
    </xdr:from>
    <xdr:ext cx="736600" cy="259045"/>
    <xdr:sp macro="" textlink="">
      <xdr:nvSpPr>
        <xdr:cNvPr id="340" name="テキスト ボックス 339"/>
        <xdr:cNvSpPr txBox="1"/>
      </xdr:nvSpPr>
      <xdr:spPr>
        <a:xfrm>
          <a:off x="15798800" y="995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78486</xdr:rowOff>
    </xdr:from>
    <xdr:to>
      <xdr:col>22</xdr:col>
      <xdr:colOff>254000</xdr:colOff>
      <xdr:row>60</xdr:row>
      <xdr:rowOff>8636</xdr:rowOff>
    </xdr:to>
    <xdr:sp macro="" textlink="">
      <xdr:nvSpPr>
        <xdr:cNvPr id="341" name="円/楕円 340"/>
        <xdr:cNvSpPr/>
      </xdr:nvSpPr>
      <xdr:spPr>
        <a:xfrm>
          <a:off x="15240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18813</xdr:rowOff>
    </xdr:from>
    <xdr:ext cx="762000" cy="259045"/>
    <xdr:sp macro="" textlink="">
      <xdr:nvSpPr>
        <xdr:cNvPr id="342" name="テキスト ボックス 341"/>
        <xdr:cNvSpPr txBox="1"/>
      </xdr:nvSpPr>
      <xdr:spPr>
        <a:xfrm>
          <a:off x="14909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117094</xdr:rowOff>
    </xdr:from>
    <xdr:to>
      <xdr:col>21</xdr:col>
      <xdr:colOff>50800</xdr:colOff>
      <xdr:row>60</xdr:row>
      <xdr:rowOff>47244</xdr:rowOff>
    </xdr:to>
    <xdr:sp macro="" textlink="">
      <xdr:nvSpPr>
        <xdr:cNvPr id="343" name="円/楕円 342"/>
        <xdr:cNvSpPr/>
      </xdr:nvSpPr>
      <xdr:spPr>
        <a:xfrm>
          <a:off x="14351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57421</xdr:rowOff>
    </xdr:from>
    <xdr:ext cx="762000" cy="259045"/>
    <xdr:sp macro="" textlink="">
      <xdr:nvSpPr>
        <xdr:cNvPr id="344" name="テキスト ボックス 343"/>
        <xdr:cNvSpPr txBox="1"/>
      </xdr:nvSpPr>
      <xdr:spPr>
        <a:xfrm>
          <a:off x="14020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45" name="円/楕円 344"/>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157497</xdr:rowOff>
    </xdr:from>
    <xdr:ext cx="762000" cy="259045"/>
    <xdr:sp macro="" textlink="">
      <xdr:nvSpPr>
        <xdr:cNvPr id="346" name="テキスト ボックス 345"/>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標準財政規模や基準財政需要額算入額が増加したことなどから、単年度で０．１ポイント改善し、３ヵ年平均でも０．２ポイント改善した。今後も緊急度・市民ニーズを的確に把握した事業の選択により安易に起債に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46</xdr:row>
      <xdr:rowOff>40519</xdr:rowOff>
    </xdr:to>
    <xdr:cxnSp macro="">
      <xdr:nvCxnSpPr>
        <xdr:cNvPr id="377" name="直線コネクタ 376"/>
        <xdr:cNvCxnSpPr/>
      </xdr:nvCxnSpPr>
      <xdr:spPr>
        <a:xfrm flipV="1">
          <a:off x="17018000" y="6261100"/>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12596</xdr:rowOff>
    </xdr:from>
    <xdr:ext cx="762000" cy="259045"/>
    <xdr:sp macro="" textlink="">
      <xdr:nvSpPr>
        <xdr:cNvPr id="378"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46</xdr:row>
      <xdr:rowOff>40519</xdr:rowOff>
    </xdr:from>
    <xdr:to>
      <xdr:col>24</xdr:col>
      <xdr:colOff>647700</xdr:colOff>
      <xdr:row>46</xdr:row>
      <xdr:rowOff>40519</xdr:rowOff>
    </xdr:to>
    <xdr:cxnSp macro="">
      <xdr:nvCxnSpPr>
        <xdr:cNvPr id="379" name="直線コネクタ 378"/>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1" name="直線コネクタ 38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88900</xdr:rowOff>
    </xdr:from>
    <xdr:to>
      <xdr:col>24</xdr:col>
      <xdr:colOff>558800</xdr:colOff>
      <xdr:row>36</xdr:row>
      <xdr:rowOff>111881</xdr:rowOff>
    </xdr:to>
    <xdr:cxnSp macro="">
      <xdr:nvCxnSpPr>
        <xdr:cNvPr id="382" name="直線コネクタ 381"/>
        <xdr:cNvCxnSpPr/>
      </xdr:nvCxnSpPr>
      <xdr:spPr>
        <a:xfrm flipV="1">
          <a:off x="16179800" y="626110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83655</xdr:rowOff>
    </xdr:from>
    <xdr:ext cx="762000" cy="259045"/>
    <xdr:sp macro="" textlink="">
      <xdr:nvSpPr>
        <xdr:cNvPr id="383" name="公債費負担の状況平均値テキスト"/>
        <xdr:cNvSpPr txBox="1"/>
      </xdr:nvSpPr>
      <xdr:spPr>
        <a:xfrm>
          <a:off x="17106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111578</xdr:rowOff>
    </xdr:from>
    <xdr:to>
      <xdr:col>24</xdr:col>
      <xdr:colOff>609600</xdr:colOff>
      <xdr:row>42</xdr:row>
      <xdr:rowOff>41728</xdr:rowOff>
    </xdr:to>
    <xdr:sp macro="" textlink="">
      <xdr:nvSpPr>
        <xdr:cNvPr id="384" name="フローチャート : 判断 383"/>
        <xdr:cNvSpPr/>
      </xdr:nvSpPr>
      <xdr:spPr>
        <a:xfrm>
          <a:off x="16967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111881</xdr:rowOff>
    </xdr:from>
    <xdr:to>
      <xdr:col>23</xdr:col>
      <xdr:colOff>406400</xdr:colOff>
      <xdr:row>37</xdr:row>
      <xdr:rowOff>124278</xdr:rowOff>
    </xdr:to>
    <xdr:cxnSp macro="">
      <xdr:nvCxnSpPr>
        <xdr:cNvPr id="385" name="直線コネクタ 384"/>
        <xdr:cNvCxnSpPr/>
      </xdr:nvCxnSpPr>
      <xdr:spPr>
        <a:xfrm flipV="1">
          <a:off x="15290800" y="6284081"/>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6" name="フローチャート : 判断 385"/>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87" name="テキスト ボックス 386"/>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124278</xdr:rowOff>
    </xdr:from>
    <xdr:to>
      <xdr:col>22</xdr:col>
      <xdr:colOff>203200</xdr:colOff>
      <xdr:row>38</xdr:row>
      <xdr:rowOff>67733</xdr:rowOff>
    </xdr:to>
    <xdr:cxnSp macro="">
      <xdr:nvCxnSpPr>
        <xdr:cNvPr id="388" name="直線コネクタ 387"/>
        <xdr:cNvCxnSpPr/>
      </xdr:nvCxnSpPr>
      <xdr:spPr>
        <a:xfrm flipV="1">
          <a:off x="14401800" y="646792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43543</xdr:rowOff>
    </xdr:from>
    <xdr:to>
      <xdr:col>22</xdr:col>
      <xdr:colOff>254000</xdr:colOff>
      <xdr:row>42</xdr:row>
      <xdr:rowOff>145143</xdr:rowOff>
    </xdr:to>
    <xdr:sp macro="" textlink="">
      <xdr:nvSpPr>
        <xdr:cNvPr id="389" name="フローチャート : 判断 388"/>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129920</xdr:rowOff>
    </xdr:from>
    <xdr:ext cx="762000" cy="259045"/>
    <xdr:sp macro="" textlink="">
      <xdr:nvSpPr>
        <xdr:cNvPr id="390" name="テキスト ボックス 389"/>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67733</xdr:rowOff>
    </xdr:from>
    <xdr:to>
      <xdr:col>21</xdr:col>
      <xdr:colOff>0</xdr:colOff>
      <xdr:row>38</xdr:row>
      <xdr:rowOff>148167</xdr:rowOff>
    </xdr:to>
    <xdr:cxnSp macro="">
      <xdr:nvCxnSpPr>
        <xdr:cNvPr id="391" name="直線コネクタ 390"/>
        <xdr:cNvCxnSpPr/>
      </xdr:nvCxnSpPr>
      <xdr:spPr>
        <a:xfrm flipV="1">
          <a:off x="13512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89505</xdr:rowOff>
    </xdr:from>
    <xdr:to>
      <xdr:col>21</xdr:col>
      <xdr:colOff>50800</xdr:colOff>
      <xdr:row>43</xdr:row>
      <xdr:rowOff>19655</xdr:rowOff>
    </xdr:to>
    <xdr:sp macro="" textlink="">
      <xdr:nvSpPr>
        <xdr:cNvPr id="392" name="フローチャート : 判断 391"/>
        <xdr:cNvSpPr/>
      </xdr:nvSpPr>
      <xdr:spPr>
        <a:xfrm>
          <a:off x="14351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4432</xdr:rowOff>
    </xdr:from>
    <xdr:ext cx="762000" cy="259045"/>
    <xdr:sp macro="" textlink="">
      <xdr:nvSpPr>
        <xdr:cNvPr id="393" name="テキスト ボックス 392"/>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134559</xdr:rowOff>
    </xdr:from>
    <xdr:to>
      <xdr:col>19</xdr:col>
      <xdr:colOff>533400</xdr:colOff>
      <xdr:row>42</xdr:row>
      <xdr:rowOff>64709</xdr:rowOff>
    </xdr:to>
    <xdr:sp macro="" textlink="">
      <xdr:nvSpPr>
        <xdr:cNvPr id="394" name="フローチャート : 判断 393"/>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49486</xdr:rowOff>
    </xdr:from>
    <xdr:ext cx="762000" cy="259045"/>
    <xdr:sp macro="" textlink="">
      <xdr:nvSpPr>
        <xdr:cNvPr id="395" name="テキスト ボックス 394"/>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38100</xdr:rowOff>
    </xdr:from>
    <xdr:to>
      <xdr:col>24</xdr:col>
      <xdr:colOff>609600</xdr:colOff>
      <xdr:row>36</xdr:row>
      <xdr:rowOff>139700</xdr:rowOff>
    </xdr:to>
    <xdr:sp macro="" textlink="">
      <xdr:nvSpPr>
        <xdr:cNvPr id="401" name="円/楕円 400"/>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130827</xdr:rowOff>
    </xdr:from>
    <xdr:ext cx="762000" cy="259045"/>
    <xdr:sp macro="" textlink="">
      <xdr:nvSpPr>
        <xdr:cNvPr id="402"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61081</xdr:rowOff>
    </xdr:from>
    <xdr:to>
      <xdr:col>23</xdr:col>
      <xdr:colOff>457200</xdr:colOff>
      <xdr:row>36</xdr:row>
      <xdr:rowOff>162681</xdr:rowOff>
    </xdr:to>
    <xdr:sp macro="" textlink="">
      <xdr:nvSpPr>
        <xdr:cNvPr id="403" name="円/楕円 402"/>
        <xdr:cNvSpPr/>
      </xdr:nvSpPr>
      <xdr:spPr>
        <a:xfrm>
          <a:off x="16129000" y="6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1408</xdr:rowOff>
    </xdr:from>
    <xdr:ext cx="736600" cy="259045"/>
    <xdr:sp macro="" textlink="">
      <xdr:nvSpPr>
        <xdr:cNvPr id="404" name="テキスト ボックス 403"/>
        <xdr:cNvSpPr txBox="1"/>
      </xdr:nvSpPr>
      <xdr:spPr>
        <a:xfrm>
          <a:off x="15798800" y="600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73478</xdr:rowOff>
    </xdr:from>
    <xdr:to>
      <xdr:col>22</xdr:col>
      <xdr:colOff>254000</xdr:colOff>
      <xdr:row>38</xdr:row>
      <xdr:rowOff>3628</xdr:rowOff>
    </xdr:to>
    <xdr:sp macro="" textlink="">
      <xdr:nvSpPr>
        <xdr:cNvPr id="405" name="円/楕円 404"/>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13805</xdr:rowOff>
    </xdr:from>
    <xdr:ext cx="762000" cy="259045"/>
    <xdr:sp macro="" textlink="">
      <xdr:nvSpPr>
        <xdr:cNvPr id="406" name="テキスト ボックス 405"/>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16933</xdr:rowOff>
    </xdr:from>
    <xdr:to>
      <xdr:col>21</xdr:col>
      <xdr:colOff>50800</xdr:colOff>
      <xdr:row>38</xdr:row>
      <xdr:rowOff>118533</xdr:rowOff>
    </xdr:to>
    <xdr:sp macro="" textlink="">
      <xdr:nvSpPr>
        <xdr:cNvPr id="407" name="円/楕円 406"/>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128710</xdr:rowOff>
    </xdr:from>
    <xdr:ext cx="762000" cy="259045"/>
    <xdr:sp macro="" textlink="">
      <xdr:nvSpPr>
        <xdr:cNvPr id="408" name="テキスト ボックス 407"/>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97367</xdr:rowOff>
    </xdr:from>
    <xdr:to>
      <xdr:col>19</xdr:col>
      <xdr:colOff>533400</xdr:colOff>
      <xdr:row>39</xdr:row>
      <xdr:rowOff>27517</xdr:rowOff>
    </xdr:to>
    <xdr:sp macro="" textlink="">
      <xdr:nvSpPr>
        <xdr:cNvPr id="409" name="円/楕円 408"/>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37694</xdr:rowOff>
    </xdr:from>
    <xdr:ext cx="762000" cy="259045"/>
    <xdr:sp macro="" textlink="">
      <xdr:nvSpPr>
        <xdr:cNvPr id="410" name="テキスト ボックス 409"/>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臨時財政対策債をはじめ各大型事業の実施により、地方債残高が増加し、将来負担比率は１．５ポイント上昇となった。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71501</xdr:rowOff>
    </xdr:to>
    <xdr:cxnSp macro="">
      <xdr:nvCxnSpPr>
        <xdr:cNvPr id="439" name="直線コネクタ 438"/>
        <xdr:cNvCxnSpPr/>
      </xdr:nvCxnSpPr>
      <xdr:spPr>
        <a:xfrm flipV="1">
          <a:off x="17018000" y="2370667"/>
          <a:ext cx="0" cy="1472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43578</xdr:rowOff>
    </xdr:from>
    <xdr:ext cx="762000" cy="259045"/>
    <xdr:sp macro="" textlink="">
      <xdr:nvSpPr>
        <xdr:cNvPr id="440" name="将来負担の状況最小値テキスト"/>
        <xdr:cNvSpPr txBox="1"/>
      </xdr:nvSpPr>
      <xdr:spPr>
        <a:xfrm>
          <a:off x="17106900" y="381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183.1</a:t>
          </a:r>
          <a:endParaRPr kumimoji="1" lang="ja-JP" altLang="en-US" sz="1000" b="1">
            <a:latin typeface="ＭＳ Ｐゴシック"/>
          </a:endParaRPr>
        </a:p>
      </xdr:txBody>
    </xdr:sp>
    <xdr:clientData/>
  </xdr:oneCellAnchor>
  <xdr:twoCellAnchor>
    <xdr:from>
      <xdr:col>24</xdr:col>
      <xdr:colOff>469900</xdr:colOff>
      <xdr:row>22</xdr:row>
      <xdr:rowOff>71501</xdr:rowOff>
    </xdr:from>
    <xdr:to>
      <xdr:col>24</xdr:col>
      <xdr:colOff>647700</xdr:colOff>
      <xdr:row>22</xdr:row>
      <xdr:rowOff>71501</xdr:rowOff>
    </xdr:to>
    <xdr:cxnSp macro="">
      <xdr:nvCxnSpPr>
        <xdr:cNvPr id="441" name="直線コネクタ 440"/>
        <xdr:cNvCxnSpPr/>
      </xdr:nvCxnSpPr>
      <xdr:spPr>
        <a:xfrm>
          <a:off x="16929100" y="38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153882</xdr:rowOff>
    </xdr:from>
    <xdr:to>
      <xdr:col>24</xdr:col>
      <xdr:colOff>558800</xdr:colOff>
      <xdr:row>13</xdr:row>
      <xdr:rowOff>165947</xdr:rowOff>
    </xdr:to>
    <xdr:cxnSp macro="">
      <xdr:nvCxnSpPr>
        <xdr:cNvPr id="444" name="直線コネクタ 443"/>
        <xdr:cNvCxnSpPr/>
      </xdr:nvCxnSpPr>
      <xdr:spPr>
        <a:xfrm>
          <a:off x="16179800" y="238273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41800</xdr:rowOff>
    </xdr:from>
    <xdr:ext cx="762000" cy="259045"/>
    <xdr:sp macro="" textlink="">
      <xdr:nvSpPr>
        <xdr:cNvPr id="445" name="将来負担の状況平均値テキスト"/>
        <xdr:cNvSpPr txBox="1"/>
      </xdr:nvSpPr>
      <xdr:spPr>
        <a:xfrm>
          <a:off x="17106900" y="278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69723</xdr:rowOff>
    </xdr:from>
    <xdr:to>
      <xdr:col>24</xdr:col>
      <xdr:colOff>609600</xdr:colOff>
      <xdr:row>16</xdr:row>
      <xdr:rowOff>171323</xdr:rowOff>
    </xdr:to>
    <xdr:sp macro="" textlink="">
      <xdr:nvSpPr>
        <xdr:cNvPr id="446" name="フローチャート : 判断 445"/>
        <xdr:cNvSpPr/>
      </xdr:nvSpPr>
      <xdr:spPr>
        <a:xfrm>
          <a:off x="169672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153882</xdr:rowOff>
    </xdr:from>
    <xdr:to>
      <xdr:col>23</xdr:col>
      <xdr:colOff>406400</xdr:colOff>
      <xdr:row>14</xdr:row>
      <xdr:rowOff>29887</xdr:rowOff>
    </xdr:to>
    <xdr:cxnSp macro="">
      <xdr:nvCxnSpPr>
        <xdr:cNvPr id="447" name="直線コネクタ 446"/>
        <xdr:cNvCxnSpPr/>
      </xdr:nvCxnSpPr>
      <xdr:spPr>
        <a:xfrm flipV="1">
          <a:off x="15290800" y="2382732"/>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31919</xdr:rowOff>
    </xdr:from>
    <xdr:to>
      <xdr:col>23</xdr:col>
      <xdr:colOff>457200</xdr:colOff>
      <xdr:row>16</xdr:row>
      <xdr:rowOff>133519</xdr:rowOff>
    </xdr:to>
    <xdr:sp macro="" textlink="">
      <xdr:nvSpPr>
        <xdr:cNvPr id="448" name="フローチャート : 判断 447"/>
        <xdr:cNvSpPr/>
      </xdr:nvSpPr>
      <xdr:spPr>
        <a:xfrm>
          <a:off x="16129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118296</xdr:rowOff>
    </xdr:from>
    <xdr:ext cx="736600" cy="259045"/>
    <xdr:sp macro="" textlink="">
      <xdr:nvSpPr>
        <xdr:cNvPr id="449" name="テキスト ボックス 448"/>
        <xdr:cNvSpPr txBox="1"/>
      </xdr:nvSpPr>
      <xdr:spPr>
        <a:xfrm>
          <a:off x="15798800" y="286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29887</xdr:rowOff>
    </xdr:from>
    <xdr:to>
      <xdr:col>22</xdr:col>
      <xdr:colOff>203200</xdr:colOff>
      <xdr:row>14</xdr:row>
      <xdr:rowOff>95038</xdr:rowOff>
    </xdr:to>
    <xdr:cxnSp macro="">
      <xdr:nvCxnSpPr>
        <xdr:cNvPr id="450" name="直線コネクタ 449"/>
        <xdr:cNvCxnSpPr/>
      </xdr:nvCxnSpPr>
      <xdr:spPr>
        <a:xfrm flipV="1">
          <a:off x="14401800" y="243018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122809</xdr:rowOff>
    </xdr:from>
    <xdr:to>
      <xdr:col>22</xdr:col>
      <xdr:colOff>254000</xdr:colOff>
      <xdr:row>17</xdr:row>
      <xdr:rowOff>52959</xdr:rowOff>
    </xdr:to>
    <xdr:sp macro="" textlink="">
      <xdr:nvSpPr>
        <xdr:cNvPr id="451" name="フローチャート : 判断 450"/>
        <xdr:cNvSpPr/>
      </xdr:nvSpPr>
      <xdr:spPr>
        <a:xfrm>
          <a:off x="15240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37736</xdr:rowOff>
    </xdr:from>
    <xdr:ext cx="762000" cy="259045"/>
    <xdr:sp macro="" textlink="">
      <xdr:nvSpPr>
        <xdr:cNvPr id="452" name="テキスト ボックス 451"/>
        <xdr:cNvSpPr txBox="1"/>
      </xdr:nvSpPr>
      <xdr:spPr>
        <a:xfrm>
          <a:off x="14909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95038</xdr:rowOff>
    </xdr:from>
    <xdr:to>
      <xdr:col>21</xdr:col>
      <xdr:colOff>0</xdr:colOff>
      <xdr:row>14</xdr:row>
      <xdr:rowOff>116755</xdr:rowOff>
    </xdr:to>
    <xdr:cxnSp macro="">
      <xdr:nvCxnSpPr>
        <xdr:cNvPr id="453" name="直線コネクタ 452"/>
        <xdr:cNvCxnSpPr/>
      </xdr:nvCxnSpPr>
      <xdr:spPr>
        <a:xfrm flipV="1">
          <a:off x="13512800" y="249533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44662</xdr:rowOff>
    </xdr:from>
    <xdr:to>
      <xdr:col>21</xdr:col>
      <xdr:colOff>50800</xdr:colOff>
      <xdr:row>17</xdr:row>
      <xdr:rowOff>146262</xdr:rowOff>
    </xdr:to>
    <xdr:sp macro="" textlink="">
      <xdr:nvSpPr>
        <xdr:cNvPr id="454" name="フローチャート : 判断 453"/>
        <xdr:cNvSpPr/>
      </xdr:nvSpPr>
      <xdr:spPr>
        <a:xfrm>
          <a:off x="14351000" y="29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131039</xdr:rowOff>
    </xdr:from>
    <xdr:ext cx="762000" cy="259045"/>
    <xdr:sp macro="" textlink="">
      <xdr:nvSpPr>
        <xdr:cNvPr id="455" name="テキスト ボックス 454"/>
        <xdr:cNvSpPr txBox="1"/>
      </xdr:nvSpPr>
      <xdr:spPr>
        <a:xfrm>
          <a:off x="14020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159004</xdr:rowOff>
    </xdr:from>
    <xdr:to>
      <xdr:col>19</xdr:col>
      <xdr:colOff>533400</xdr:colOff>
      <xdr:row>17</xdr:row>
      <xdr:rowOff>89154</xdr:rowOff>
    </xdr:to>
    <xdr:sp macro="" textlink="">
      <xdr:nvSpPr>
        <xdr:cNvPr id="456" name="フローチャート : 判断 455"/>
        <xdr:cNvSpPr/>
      </xdr:nvSpPr>
      <xdr:spPr>
        <a:xfrm>
          <a:off x="13462000" y="290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73931</xdr:rowOff>
    </xdr:from>
    <xdr:ext cx="762000" cy="259045"/>
    <xdr:sp macro="" textlink="">
      <xdr:nvSpPr>
        <xdr:cNvPr id="457" name="テキスト ボックス 456"/>
        <xdr:cNvSpPr txBox="1"/>
      </xdr:nvSpPr>
      <xdr:spPr>
        <a:xfrm>
          <a:off x="13131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115147</xdr:rowOff>
    </xdr:from>
    <xdr:to>
      <xdr:col>24</xdr:col>
      <xdr:colOff>609600</xdr:colOff>
      <xdr:row>14</xdr:row>
      <xdr:rowOff>45297</xdr:rowOff>
    </xdr:to>
    <xdr:sp macro="" textlink="">
      <xdr:nvSpPr>
        <xdr:cNvPr id="463" name="円/楕円 462"/>
        <xdr:cNvSpPr/>
      </xdr:nvSpPr>
      <xdr:spPr>
        <a:xfrm>
          <a:off x="169672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36424</xdr:rowOff>
    </xdr:from>
    <xdr:ext cx="762000" cy="259045"/>
    <xdr:sp macro="" textlink="">
      <xdr:nvSpPr>
        <xdr:cNvPr id="464" name="将来負担の状況該当値テキスト"/>
        <xdr:cNvSpPr txBox="1"/>
      </xdr:nvSpPr>
      <xdr:spPr>
        <a:xfrm>
          <a:off x="17106900" y="226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103082</xdr:rowOff>
    </xdr:from>
    <xdr:to>
      <xdr:col>23</xdr:col>
      <xdr:colOff>457200</xdr:colOff>
      <xdr:row>14</xdr:row>
      <xdr:rowOff>33232</xdr:rowOff>
    </xdr:to>
    <xdr:sp macro="" textlink="">
      <xdr:nvSpPr>
        <xdr:cNvPr id="465" name="円/楕円 464"/>
        <xdr:cNvSpPr/>
      </xdr:nvSpPr>
      <xdr:spPr>
        <a:xfrm>
          <a:off x="16129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43409</xdr:rowOff>
    </xdr:from>
    <xdr:ext cx="736600" cy="259045"/>
    <xdr:sp macro="" textlink="">
      <xdr:nvSpPr>
        <xdr:cNvPr id="466" name="テキスト ボックス 465"/>
        <xdr:cNvSpPr txBox="1"/>
      </xdr:nvSpPr>
      <xdr:spPr>
        <a:xfrm>
          <a:off x="15798800" y="210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150537</xdr:rowOff>
    </xdr:from>
    <xdr:to>
      <xdr:col>22</xdr:col>
      <xdr:colOff>254000</xdr:colOff>
      <xdr:row>14</xdr:row>
      <xdr:rowOff>80687</xdr:rowOff>
    </xdr:to>
    <xdr:sp macro="" textlink="">
      <xdr:nvSpPr>
        <xdr:cNvPr id="467" name="円/楕円 466"/>
        <xdr:cNvSpPr/>
      </xdr:nvSpPr>
      <xdr:spPr>
        <a:xfrm>
          <a:off x="15240000" y="23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90864</xdr:rowOff>
    </xdr:from>
    <xdr:ext cx="762000" cy="259045"/>
    <xdr:sp macro="" textlink="">
      <xdr:nvSpPr>
        <xdr:cNvPr id="468" name="テキスト ボックス 467"/>
        <xdr:cNvSpPr txBox="1"/>
      </xdr:nvSpPr>
      <xdr:spPr>
        <a:xfrm>
          <a:off x="14909800" y="214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44238</xdr:rowOff>
    </xdr:from>
    <xdr:to>
      <xdr:col>21</xdr:col>
      <xdr:colOff>50800</xdr:colOff>
      <xdr:row>14</xdr:row>
      <xdr:rowOff>145838</xdr:rowOff>
    </xdr:to>
    <xdr:sp macro="" textlink="">
      <xdr:nvSpPr>
        <xdr:cNvPr id="469" name="円/楕円 468"/>
        <xdr:cNvSpPr/>
      </xdr:nvSpPr>
      <xdr:spPr>
        <a:xfrm>
          <a:off x="14351000" y="24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156015</xdr:rowOff>
    </xdr:from>
    <xdr:ext cx="762000" cy="259045"/>
    <xdr:sp macro="" textlink="">
      <xdr:nvSpPr>
        <xdr:cNvPr id="470" name="テキスト ボックス 469"/>
        <xdr:cNvSpPr txBox="1"/>
      </xdr:nvSpPr>
      <xdr:spPr>
        <a:xfrm>
          <a:off x="14020800" y="221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65955</xdr:rowOff>
    </xdr:from>
    <xdr:to>
      <xdr:col>19</xdr:col>
      <xdr:colOff>533400</xdr:colOff>
      <xdr:row>14</xdr:row>
      <xdr:rowOff>167555</xdr:rowOff>
    </xdr:to>
    <xdr:sp macro="" textlink="">
      <xdr:nvSpPr>
        <xdr:cNvPr id="471" name="円/楕円 470"/>
        <xdr:cNvSpPr/>
      </xdr:nvSpPr>
      <xdr:spPr>
        <a:xfrm>
          <a:off x="13462000" y="24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6282</xdr:rowOff>
    </xdr:from>
    <xdr:ext cx="762000" cy="259045"/>
    <xdr:sp macro="" textlink="">
      <xdr:nvSpPr>
        <xdr:cNvPr id="472" name="テキスト ボックス 471"/>
        <xdr:cNvSpPr txBox="1"/>
      </xdr:nvSpPr>
      <xdr:spPr>
        <a:xfrm>
          <a:off x="13131800" y="22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京都府長岡京市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80,222
79,665
19.17
28,361,021
27,437,756
791,193
15,856,430
26,519,549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は特別職や議員等への報酬も含むが多くは職員人件費である。職員数については定員管理計画のもと計画的に削減を行っている。この数年間は人口が急増した昭和４０～５０年代に採用した多くの職員が定年を迎えたため、職員数の減少に加え、若年化が進んでいる。平成２６年度は、前年度を０．１ポイント下回ったが、今後、職員人件費は減少していく見込みで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40</xdr:row>
      <xdr:rowOff>149860</xdr:rowOff>
    </xdr:to>
    <xdr:cxnSp macro="">
      <xdr:nvCxnSpPr>
        <xdr:cNvPr id="59" name="直線コネクタ 58"/>
        <xdr:cNvCxnSpPr/>
      </xdr:nvCxnSpPr>
      <xdr:spPr>
        <a:xfrm flipV="1">
          <a:off x="4826000" y="57505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12700</xdr:rowOff>
    </xdr:to>
    <xdr:cxnSp macro="">
      <xdr:nvCxnSpPr>
        <xdr:cNvPr id="64" name="直線コネクタ 63"/>
        <xdr:cNvCxnSpPr/>
      </xdr:nvCxnSpPr>
      <xdr:spPr>
        <a:xfrm flipV="1">
          <a:off x="3987800" y="6177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58437</xdr:rowOff>
    </xdr:from>
    <xdr:ext cx="762000" cy="259045"/>
    <xdr:sp macro="" textlink="">
      <xdr:nvSpPr>
        <xdr:cNvPr id="65" name="人件費平均値テキスト"/>
        <xdr:cNvSpPr txBox="1"/>
      </xdr:nvSpPr>
      <xdr:spPr>
        <a:xfrm>
          <a:off x="4914900" y="58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66" name="フローチャート : 判断 65"/>
        <xdr:cNvSpPr/>
      </xdr:nvSpPr>
      <xdr:spPr>
        <a:xfrm>
          <a:off x="47752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165100</xdr:rowOff>
    </xdr:to>
    <xdr:cxnSp macro="">
      <xdr:nvCxnSpPr>
        <xdr:cNvPr id="67" name="直線コネクタ 66"/>
        <xdr:cNvCxnSpPr/>
      </xdr:nvCxnSpPr>
      <xdr:spPr>
        <a:xfrm flipV="1">
          <a:off x="3098800" y="618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49530</xdr:rowOff>
    </xdr:from>
    <xdr:to>
      <xdr:col>5</xdr:col>
      <xdr:colOff>600075</xdr:colOff>
      <xdr:row>35</xdr:row>
      <xdr:rowOff>151130</xdr:rowOff>
    </xdr:to>
    <xdr:sp macro="" textlink="">
      <xdr:nvSpPr>
        <xdr:cNvPr id="68" name="フローチャート : 判断 67"/>
        <xdr:cNvSpPr/>
      </xdr:nvSpPr>
      <xdr:spPr>
        <a:xfrm>
          <a:off x="3937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69" name="テキスト ボックス 68"/>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153670</xdr:rowOff>
    </xdr:to>
    <xdr:cxnSp macro="">
      <xdr:nvCxnSpPr>
        <xdr:cNvPr id="70" name="直線コネクタ 69"/>
        <xdr:cNvCxnSpPr/>
      </xdr:nvCxnSpPr>
      <xdr:spPr>
        <a:xfrm flipV="1">
          <a:off x="2209800" y="63373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1" name="フローチャート : 判断 70"/>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2" name="テキスト ボックス 71"/>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153670</xdr:rowOff>
    </xdr:to>
    <xdr:cxnSp macro="">
      <xdr:nvCxnSpPr>
        <xdr:cNvPr id="73" name="直線コネクタ 72"/>
        <xdr:cNvCxnSpPr/>
      </xdr:nvCxnSpPr>
      <xdr:spPr>
        <a:xfrm>
          <a:off x="1320800" y="640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68580</xdr:rowOff>
    </xdr:from>
    <xdr:to>
      <xdr:col>3</xdr:col>
      <xdr:colOff>193675</xdr:colOff>
      <xdr:row>36</xdr:row>
      <xdr:rowOff>170180</xdr:rowOff>
    </xdr:to>
    <xdr:sp macro="" textlink="">
      <xdr:nvSpPr>
        <xdr:cNvPr id="74" name="フローチャート : 判断 73"/>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8907</xdr:rowOff>
    </xdr:from>
    <xdr:ext cx="762000" cy="259045"/>
    <xdr:sp macro="" textlink="">
      <xdr:nvSpPr>
        <xdr:cNvPr id="75" name="テキスト ボックス 74"/>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76" name="フローチャート : 判断 75"/>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161307</xdr:rowOff>
    </xdr:from>
    <xdr:ext cx="762000" cy="259045"/>
    <xdr:sp macro="" textlink="">
      <xdr:nvSpPr>
        <xdr:cNvPr id="77" name="テキスト ボックス 76"/>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3" name="円/楕円 82"/>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97807</xdr:rowOff>
    </xdr:from>
    <xdr:ext cx="762000" cy="259045"/>
    <xdr:sp macro="" textlink="">
      <xdr:nvSpPr>
        <xdr:cNvPr id="84" name="人件費該当値テキスト"/>
        <xdr:cNvSpPr txBox="1"/>
      </xdr:nvSpPr>
      <xdr:spPr>
        <a:xfrm>
          <a:off x="4914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5" name="円/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86" name="テキスト ボックス 85"/>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7" name="円/楕円 86"/>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88" name="テキスト ボックス 87"/>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102870</xdr:rowOff>
    </xdr:from>
    <xdr:to>
      <xdr:col>3</xdr:col>
      <xdr:colOff>193675</xdr:colOff>
      <xdr:row>38</xdr:row>
      <xdr:rowOff>33020</xdr:rowOff>
    </xdr:to>
    <xdr:sp macro="" textlink="">
      <xdr:nvSpPr>
        <xdr:cNvPr id="89" name="円/楕円 88"/>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17797</xdr:rowOff>
    </xdr:from>
    <xdr:ext cx="762000" cy="259045"/>
    <xdr:sp macro="" textlink="">
      <xdr:nvSpPr>
        <xdr:cNvPr id="90" name="テキスト ボックス 89"/>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1" name="円/楕円 90"/>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92" name="テキスト ボックス 91"/>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の数字とほぼ同じ値で推移している。今後、引き続き人員削減策や事務の効率化を進めると指定管理委託料やアルバイト賃金、ＯＡ機器の更新といった物件費の上昇を招くことが予想される。そのような状況下でいかに抑制していくかが課題とな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37193</xdr:rowOff>
    </xdr:to>
    <xdr:cxnSp macro="">
      <xdr:nvCxnSpPr>
        <xdr:cNvPr id="122" name="直線コネクタ 121"/>
        <xdr:cNvCxnSpPr/>
      </xdr:nvCxnSpPr>
      <xdr:spPr>
        <a:xfrm flipV="1">
          <a:off x="16510000" y="22987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3"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4" name="直線コネクタ 123"/>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45357</xdr:rowOff>
    </xdr:from>
    <xdr:to>
      <xdr:col>24</xdr:col>
      <xdr:colOff>31750</xdr:colOff>
      <xdr:row>16</xdr:row>
      <xdr:rowOff>94343</xdr:rowOff>
    </xdr:to>
    <xdr:cxnSp macro="">
      <xdr:nvCxnSpPr>
        <xdr:cNvPr id="127" name="直線コネクタ 126"/>
        <xdr:cNvCxnSpPr/>
      </xdr:nvCxnSpPr>
      <xdr:spPr>
        <a:xfrm>
          <a:off x="15671800" y="27885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8"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9" name="フローチャート : 判断 128"/>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16</xdr:row>
      <xdr:rowOff>45357</xdr:rowOff>
    </xdr:to>
    <xdr:cxnSp macro="">
      <xdr:nvCxnSpPr>
        <xdr:cNvPr id="130" name="直線コネクタ 129"/>
        <xdr:cNvCxnSpPr/>
      </xdr:nvCxnSpPr>
      <xdr:spPr>
        <a:xfrm>
          <a:off x="14782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149679</xdr:rowOff>
    </xdr:from>
    <xdr:to>
      <xdr:col>22</xdr:col>
      <xdr:colOff>615950</xdr:colOff>
      <xdr:row>16</xdr:row>
      <xdr:rowOff>79829</xdr:rowOff>
    </xdr:to>
    <xdr:sp macro="" textlink="">
      <xdr:nvSpPr>
        <xdr:cNvPr id="131" name="フローチャート : 判断 130"/>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90006</xdr:rowOff>
    </xdr:from>
    <xdr:ext cx="736600" cy="259045"/>
    <xdr:sp macro="" textlink="">
      <xdr:nvSpPr>
        <xdr:cNvPr id="132" name="テキスト ボックス 131"/>
        <xdr:cNvSpPr txBox="1"/>
      </xdr:nvSpPr>
      <xdr:spPr>
        <a:xfrm>
          <a:off x="15290800" y="24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15</xdr:row>
      <xdr:rowOff>151493</xdr:rowOff>
    </xdr:to>
    <xdr:cxnSp macro="">
      <xdr:nvCxnSpPr>
        <xdr:cNvPr id="133" name="直線コネクタ 132"/>
        <xdr:cNvCxnSpPr/>
      </xdr:nvCxnSpPr>
      <xdr:spPr>
        <a:xfrm>
          <a:off x="13893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84364</xdr:rowOff>
    </xdr:from>
    <xdr:to>
      <xdr:col>21</xdr:col>
      <xdr:colOff>412750</xdr:colOff>
      <xdr:row>16</xdr:row>
      <xdr:rowOff>14514</xdr:rowOff>
    </xdr:to>
    <xdr:sp macro="" textlink="">
      <xdr:nvSpPr>
        <xdr:cNvPr id="134" name="フローチャート : 判断 133"/>
        <xdr:cNvSpPr/>
      </xdr:nvSpPr>
      <xdr:spPr>
        <a:xfrm>
          <a:off x="14732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24691</xdr:rowOff>
    </xdr:from>
    <xdr:ext cx="762000" cy="259045"/>
    <xdr:sp macro="" textlink="">
      <xdr:nvSpPr>
        <xdr:cNvPr id="135" name="テキスト ボックス 134"/>
        <xdr:cNvSpPr txBox="1"/>
      </xdr:nvSpPr>
      <xdr:spPr>
        <a:xfrm>
          <a:off x="14401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15</xdr:row>
      <xdr:rowOff>118836</xdr:rowOff>
    </xdr:to>
    <xdr:cxnSp macro="">
      <xdr:nvCxnSpPr>
        <xdr:cNvPr id="136" name="直線コネクタ 135"/>
        <xdr:cNvCxnSpPr/>
      </xdr:nvCxnSpPr>
      <xdr:spPr>
        <a:xfrm>
          <a:off x="13004800" y="2690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157843</xdr:rowOff>
    </xdr:from>
    <xdr:to>
      <xdr:col>20</xdr:col>
      <xdr:colOff>209550</xdr:colOff>
      <xdr:row>15</xdr:row>
      <xdr:rowOff>87993</xdr:rowOff>
    </xdr:to>
    <xdr:sp macro="" textlink="">
      <xdr:nvSpPr>
        <xdr:cNvPr id="137" name="フローチャート : 判断 136"/>
        <xdr:cNvSpPr/>
      </xdr:nvSpPr>
      <xdr:spPr>
        <a:xfrm>
          <a:off x="13843000" y="255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98170</xdr:rowOff>
    </xdr:from>
    <xdr:ext cx="762000" cy="259045"/>
    <xdr:sp macro="" textlink="">
      <xdr:nvSpPr>
        <xdr:cNvPr id="138" name="テキスト ボックス 137"/>
        <xdr:cNvSpPr txBox="1"/>
      </xdr:nvSpPr>
      <xdr:spPr>
        <a:xfrm>
          <a:off x="13512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43543</xdr:rowOff>
    </xdr:from>
    <xdr:to>
      <xdr:col>19</xdr:col>
      <xdr:colOff>6350</xdr:colOff>
      <xdr:row>16</xdr:row>
      <xdr:rowOff>145143</xdr:rowOff>
    </xdr:to>
    <xdr:sp macro="" textlink="">
      <xdr:nvSpPr>
        <xdr:cNvPr id="139" name="フローチャート : 判断 138"/>
        <xdr:cNvSpPr/>
      </xdr:nvSpPr>
      <xdr:spPr>
        <a:xfrm>
          <a:off x="12954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129920</xdr:rowOff>
    </xdr:from>
    <xdr:ext cx="762000" cy="259045"/>
    <xdr:sp macro="" textlink="">
      <xdr:nvSpPr>
        <xdr:cNvPr id="140" name="テキスト ボックス 139"/>
        <xdr:cNvSpPr txBox="1"/>
      </xdr:nvSpPr>
      <xdr:spPr>
        <a:xfrm>
          <a:off x="12623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43543</xdr:rowOff>
    </xdr:from>
    <xdr:to>
      <xdr:col>24</xdr:col>
      <xdr:colOff>82550</xdr:colOff>
      <xdr:row>16</xdr:row>
      <xdr:rowOff>145143</xdr:rowOff>
    </xdr:to>
    <xdr:sp macro="" textlink="">
      <xdr:nvSpPr>
        <xdr:cNvPr id="146" name="円/楕円 145"/>
        <xdr:cNvSpPr/>
      </xdr:nvSpPr>
      <xdr:spPr>
        <a:xfrm>
          <a:off x="164592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60070</xdr:rowOff>
    </xdr:from>
    <xdr:ext cx="762000" cy="259045"/>
    <xdr:sp macro="" textlink="">
      <xdr:nvSpPr>
        <xdr:cNvPr id="147" name="物件費該当値テキスト"/>
        <xdr:cNvSpPr txBox="1"/>
      </xdr:nvSpPr>
      <xdr:spPr>
        <a:xfrm>
          <a:off x="16598900" y="263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166007</xdr:rowOff>
    </xdr:from>
    <xdr:to>
      <xdr:col>22</xdr:col>
      <xdr:colOff>615950</xdr:colOff>
      <xdr:row>16</xdr:row>
      <xdr:rowOff>96157</xdr:rowOff>
    </xdr:to>
    <xdr:sp macro="" textlink="">
      <xdr:nvSpPr>
        <xdr:cNvPr id="148" name="円/楕円 147"/>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49" name="テキスト ボックス 148"/>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100693</xdr:rowOff>
    </xdr:from>
    <xdr:to>
      <xdr:col>21</xdr:col>
      <xdr:colOff>412750</xdr:colOff>
      <xdr:row>16</xdr:row>
      <xdr:rowOff>30843</xdr:rowOff>
    </xdr:to>
    <xdr:sp macro="" textlink="">
      <xdr:nvSpPr>
        <xdr:cNvPr id="150" name="円/楕円 149"/>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51" name="テキスト ボックス 150"/>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2" name="円/楕円 151"/>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53" name="テキスト ボックス 152"/>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4" name="円/楕円 153"/>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8363</xdr:rowOff>
    </xdr:from>
    <xdr:ext cx="762000" cy="259045"/>
    <xdr:sp macro="" textlink="">
      <xdr:nvSpPr>
        <xdr:cNvPr id="155" name="テキスト ボックス 154"/>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下回っているものの、８～１０％台を推移している。扶助費は法令に基づき支出する経費が多く、任意に削減することが困難である。今後は市の単独制度の見直しなど給付水準や給付と負担の関係について幅広い議論が必要にな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5" name="直線コネクタ 184"/>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127000</xdr:rowOff>
    </xdr:to>
    <xdr:cxnSp macro="">
      <xdr:nvCxnSpPr>
        <xdr:cNvPr id="190" name="直線コネクタ 189"/>
        <xdr:cNvCxnSpPr/>
      </xdr:nvCxnSpPr>
      <xdr:spPr>
        <a:xfrm flipV="1">
          <a:off x="3987800" y="9368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2" name="フローチャート : 判断 191"/>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127000</xdr:rowOff>
    </xdr:to>
    <xdr:cxnSp macro="">
      <xdr:nvCxnSpPr>
        <xdr:cNvPr id="193" name="直線コネクタ 192"/>
        <xdr:cNvCxnSpPr/>
      </xdr:nvCxnSpPr>
      <xdr:spPr>
        <a:xfrm>
          <a:off x="3098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94343</xdr:rowOff>
    </xdr:to>
    <xdr:cxnSp macro="">
      <xdr:nvCxnSpPr>
        <xdr:cNvPr id="196" name="直線コネクタ 195"/>
        <xdr:cNvCxnSpPr/>
      </xdr:nvCxnSpPr>
      <xdr:spPr>
        <a:xfrm>
          <a:off x="2209800" y="9222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157843</xdr:rowOff>
    </xdr:from>
    <xdr:to>
      <xdr:col>4</xdr:col>
      <xdr:colOff>396875</xdr:colOff>
      <xdr:row>55</xdr:row>
      <xdr:rowOff>87993</xdr:rowOff>
    </xdr:to>
    <xdr:sp macro="" textlink="">
      <xdr:nvSpPr>
        <xdr:cNvPr id="197" name="フローチャート : 判断 196"/>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72770</xdr:rowOff>
    </xdr:from>
    <xdr:ext cx="762000" cy="259045"/>
    <xdr:sp macro="" textlink="">
      <xdr:nvSpPr>
        <xdr:cNvPr id="198" name="テキスト ボックス 197"/>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53</xdr:row>
      <xdr:rowOff>135165</xdr:rowOff>
    </xdr:to>
    <xdr:cxnSp macro="">
      <xdr:nvCxnSpPr>
        <xdr:cNvPr id="199" name="直線コネクタ 198"/>
        <xdr:cNvCxnSpPr/>
      </xdr:nvCxnSpPr>
      <xdr:spPr>
        <a:xfrm>
          <a:off x="1320800" y="90424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200" name="フローチャート : 判断 199"/>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201" name="テキスト ボックス 200"/>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9" name="円/楕円 208"/>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10"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3" name="円/楕円 212"/>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4" name="テキスト ボックス 213"/>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17" name="円/楕円 216"/>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18" name="テキスト ボックス 217"/>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おおむね類似団体平均と近い数字で推移しているが、平成２６年度は１．５ポイント下回った。今後は厳しい市財政の現状からも、特別会計に対する繰出し基準の見直し等が求めら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62</xdr:row>
      <xdr:rowOff>83457</xdr:rowOff>
    </xdr:to>
    <xdr:cxnSp macro="">
      <xdr:nvCxnSpPr>
        <xdr:cNvPr id="248" name="直線コネクタ 247"/>
        <xdr:cNvCxnSpPr/>
      </xdr:nvCxnSpPr>
      <xdr:spPr>
        <a:xfrm flipV="1">
          <a:off x="16510000" y="9156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55534</xdr:rowOff>
    </xdr:from>
    <xdr:ext cx="762000" cy="259045"/>
    <xdr:sp macro="" textlink="">
      <xdr:nvSpPr>
        <xdr:cNvPr id="249" name="その他最小値テキスト"/>
        <xdr:cNvSpPr txBox="1"/>
      </xdr:nvSpPr>
      <xdr:spPr>
        <a:xfrm>
          <a:off x="165989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62</xdr:row>
      <xdr:rowOff>83457</xdr:rowOff>
    </xdr:from>
    <xdr:to>
      <xdr:col>24</xdr:col>
      <xdr:colOff>120650</xdr:colOff>
      <xdr:row>62</xdr:row>
      <xdr:rowOff>83457</xdr:rowOff>
    </xdr:to>
    <xdr:cxnSp macro="">
      <xdr:nvCxnSpPr>
        <xdr:cNvPr id="250" name="直線コネクタ 249"/>
        <xdr:cNvCxnSpPr/>
      </xdr:nvCxnSpPr>
      <xdr:spPr>
        <a:xfrm>
          <a:off x="16421100" y="1071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20865</xdr:rowOff>
    </xdr:from>
    <xdr:to>
      <xdr:col>24</xdr:col>
      <xdr:colOff>31750</xdr:colOff>
      <xdr:row>55</xdr:row>
      <xdr:rowOff>140607</xdr:rowOff>
    </xdr:to>
    <xdr:cxnSp macro="">
      <xdr:nvCxnSpPr>
        <xdr:cNvPr id="253" name="直線コネクタ 252"/>
        <xdr:cNvCxnSpPr/>
      </xdr:nvCxnSpPr>
      <xdr:spPr>
        <a:xfrm>
          <a:off x="15671800" y="94506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53720</xdr:rowOff>
    </xdr:from>
    <xdr:ext cx="762000" cy="259045"/>
    <xdr:sp macro="" textlink="">
      <xdr:nvSpPr>
        <xdr:cNvPr id="254" name="その他平均値テキスト"/>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81643</xdr:rowOff>
    </xdr:from>
    <xdr:to>
      <xdr:col>24</xdr:col>
      <xdr:colOff>82550</xdr:colOff>
      <xdr:row>57</xdr:row>
      <xdr:rowOff>11793</xdr:rowOff>
    </xdr:to>
    <xdr:sp macro="" textlink="">
      <xdr:nvSpPr>
        <xdr:cNvPr id="255" name="フローチャート : 判断 254"/>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20865</xdr:rowOff>
    </xdr:from>
    <xdr:to>
      <xdr:col>22</xdr:col>
      <xdr:colOff>565150</xdr:colOff>
      <xdr:row>55</xdr:row>
      <xdr:rowOff>31750</xdr:rowOff>
    </xdr:to>
    <xdr:cxnSp macro="">
      <xdr:nvCxnSpPr>
        <xdr:cNvPr id="256" name="直線コネクタ 255"/>
        <xdr:cNvCxnSpPr/>
      </xdr:nvCxnSpPr>
      <xdr:spPr>
        <a:xfrm flipV="1">
          <a:off x="14782800" y="9450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27215</xdr:rowOff>
    </xdr:from>
    <xdr:to>
      <xdr:col>22</xdr:col>
      <xdr:colOff>615950</xdr:colOff>
      <xdr:row>56</xdr:row>
      <xdr:rowOff>128815</xdr:rowOff>
    </xdr:to>
    <xdr:sp macro="" textlink="">
      <xdr:nvSpPr>
        <xdr:cNvPr id="257" name="フローチャート : 判断 256"/>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113592</xdr:rowOff>
    </xdr:from>
    <xdr:ext cx="736600" cy="259045"/>
    <xdr:sp macro="" textlink="">
      <xdr:nvSpPr>
        <xdr:cNvPr id="258" name="テキスト ボックス 257"/>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83457</xdr:rowOff>
    </xdr:from>
    <xdr:to>
      <xdr:col>21</xdr:col>
      <xdr:colOff>361950</xdr:colOff>
      <xdr:row>55</xdr:row>
      <xdr:rowOff>31750</xdr:rowOff>
    </xdr:to>
    <xdr:cxnSp macro="">
      <xdr:nvCxnSpPr>
        <xdr:cNvPr id="259" name="直線コネクタ 258"/>
        <xdr:cNvCxnSpPr/>
      </xdr:nvCxnSpPr>
      <xdr:spPr>
        <a:xfrm>
          <a:off x="13893800" y="9341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27215</xdr:rowOff>
    </xdr:from>
    <xdr:to>
      <xdr:col>21</xdr:col>
      <xdr:colOff>412750</xdr:colOff>
      <xdr:row>56</xdr:row>
      <xdr:rowOff>128815</xdr:rowOff>
    </xdr:to>
    <xdr:sp macro="" textlink="">
      <xdr:nvSpPr>
        <xdr:cNvPr id="260" name="フローチャート : 判断 259"/>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113592</xdr:rowOff>
    </xdr:from>
    <xdr:ext cx="762000" cy="259045"/>
    <xdr:sp macro="" textlink="">
      <xdr:nvSpPr>
        <xdr:cNvPr id="261" name="テキスト ボックス 260"/>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50800</xdr:rowOff>
    </xdr:from>
    <xdr:to>
      <xdr:col>20</xdr:col>
      <xdr:colOff>158750</xdr:colOff>
      <xdr:row>54</xdr:row>
      <xdr:rowOff>83457</xdr:rowOff>
    </xdr:to>
    <xdr:cxnSp macro="">
      <xdr:nvCxnSpPr>
        <xdr:cNvPr id="262" name="直線コネクタ 261"/>
        <xdr:cNvCxnSpPr/>
      </xdr:nvCxnSpPr>
      <xdr:spPr>
        <a:xfrm>
          <a:off x="13004800" y="9309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3" name="フローチャート : 判断 26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4" name="テキスト ボックス 263"/>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141515</xdr:rowOff>
    </xdr:from>
    <xdr:to>
      <xdr:col>19</xdr:col>
      <xdr:colOff>6350</xdr:colOff>
      <xdr:row>55</xdr:row>
      <xdr:rowOff>71665</xdr:rowOff>
    </xdr:to>
    <xdr:sp macro="" textlink="">
      <xdr:nvSpPr>
        <xdr:cNvPr id="265" name="フローチャート : 判断 264"/>
        <xdr:cNvSpPr/>
      </xdr:nvSpPr>
      <xdr:spPr>
        <a:xfrm>
          <a:off x="12954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56442</xdr:rowOff>
    </xdr:from>
    <xdr:ext cx="762000" cy="259045"/>
    <xdr:sp macro="" textlink="">
      <xdr:nvSpPr>
        <xdr:cNvPr id="266" name="テキスト ボックス 265"/>
        <xdr:cNvSpPr txBox="1"/>
      </xdr:nvSpPr>
      <xdr:spPr>
        <a:xfrm>
          <a:off x="12623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89807</xdr:rowOff>
    </xdr:from>
    <xdr:to>
      <xdr:col>24</xdr:col>
      <xdr:colOff>82550</xdr:colOff>
      <xdr:row>56</xdr:row>
      <xdr:rowOff>19957</xdr:rowOff>
    </xdr:to>
    <xdr:sp macro="" textlink="">
      <xdr:nvSpPr>
        <xdr:cNvPr id="272" name="円/楕円 271"/>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106334</xdr:rowOff>
    </xdr:from>
    <xdr:ext cx="762000" cy="259045"/>
    <xdr:sp macro="" textlink="">
      <xdr:nvSpPr>
        <xdr:cNvPr id="273" name="その他該当値テキスト"/>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141515</xdr:rowOff>
    </xdr:from>
    <xdr:to>
      <xdr:col>22</xdr:col>
      <xdr:colOff>615950</xdr:colOff>
      <xdr:row>55</xdr:row>
      <xdr:rowOff>71665</xdr:rowOff>
    </xdr:to>
    <xdr:sp macro="" textlink="">
      <xdr:nvSpPr>
        <xdr:cNvPr id="274" name="円/楕円 273"/>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81842</xdr:rowOff>
    </xdr:from>
    <xdr:ext cx="736600" cy="259045"/>
    <xdr:sp macro="" textlink="">
      <xdr:nvSpPr>
        <xdr:cNvPr id="275" name="テキスト ボックス 274"/>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6" name="円/楕円 275"/>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7" name="テキスト ボックス 276"/>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32657</xdr:rowOff>
    </xdr:from>
    <xdr:to>
      <xdr:col>20</xdr:col>
      <xdr:colOff>209550</xdr:colOff>
      <xdr:row>54</xdr:row>
      <xdr:rowOff>134257</xdr:rowOff>
    </xdr:to>
    <xdr:sp macro="" textlink="">
      <xdr:nvSpPr>
        <xdr:cNvPr id="278" name="円/楕円 277"/>
        <xdr:cNvSpPr/>
      </xdr:nvSpPr>
      <xdr:spPr>
        <a:xfrm>
          <a:off x="13843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144434</xdr:rowOff>
    </xdr:from>
    <xdr:ext cx="762000" cy="259045"/>
    <xdr:sp macro="" textlink="">
      <xdr:nvSpPr>
        <xdr:cNvPr id="279" name="テキスト ボックス 278"/>
        <xdr:cNvSpPr txBox="1"/>
      </xdr:nvSpPr>
      <xdr:spPr>
        <a:xfrm>
          <a:off x="13512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0</xdr:rowOff>
    </xdr:from>
    <xdr:to>
      <xdr:col>19</xdr:col>
      <xdr:colOff>6350</xdr:colOff>
      <xdr:row>54</xdr:row>
      <xdr:rowOff>101600</xdr:rowOff>
    </xdr:to>
    <xdr:sp macro="" textlink="">
      <xdr:nvSpPr>
        <xdr:cNvPr id="280" name="円/楕円 279"/>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111777</xdr:rowOff>
    </xdr:from>
    <xdr:ext cx="762000" cy="259045"/>
    <xdr:sp macro="" textlink="">
      <xdr:nvSpPr>
        <xdr:cNvPr id="281" name="テキスト ボックス 280"/>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平均を上回っているのは、類似団体と比較してごみ処理、消防、福祉といった多くの事務を一部事務組合で処理をしている関係上、負担金の割合が高いためである。今後は一部事務組合も含めた連結決算を視野に入れた財政運営が求められ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165100</xdr:rowOff>
    </xdr:from>
    <xdr:to>
      <xdr:col>24</xdr:col>
      <xdr:colOff>31750</xdr:colOff>
      <xdr:row>41</xdr:row>
      <xdr:rowOff>48078</xdr:rowOff>
    </xdr:to>
    <xdr:cxnSp macro="">
      <xdr:nvCxnSpPr>
        <xdr:cNvPr id="311" name="直線コネクタ 310"/>
        <xdr:cNvCxnSpPr/>
      </xdr:nvCxnSpPr>
      <xdr:spPr>
        <a:xfrm flipV="1">
          <a:off x="16510000" y="5651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2"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3" name="直線コネクタ 312"/>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80027</xdr:rowOff>
    </xdr:from>
    <xdr:ext cx="762000" cy="259045"/>
    <xdr:sp macro="" textlink="">
      <xdr:nvSpPr>
        <xdr:cNvPr id="314"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32</xdr:row>
      <xdr:rowOff>165100</xdr:rowOff>
    </xdr:from>
    <xdr:to>
      <xdr:col>24</xdr:col>
      <xdr:colOff>120650</xdr:colOff>
      <xdr:row>32</xdr:row>
      <xdr:rowOff>165100</xdr:rowOff>
    </xdr:to>
    <xdr:cxnSp macro="">
      <xdr:nvCxnSpPr>
        <xdr:cNvPr id="315" name="直線コネクタ 314"/>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78015</xdr:rowOff>
    </xdr:from>
    <xdr:to>
      <xdr:col>24</xdr:col>
      <xdr:colOff>31750</xdr:colOff>
      <xdr:row>40</xdr:row>
      <xdr:rowOff>110672</xdr:rowOff>
    </xdr:to>
    <xdr:cxnSp macro="">
      <xdr:nvCxnSpPr>
        <xdr:cNvPr id="316" name="直線コネクタ 315"/>
        <xdr:cNvCxnSpPr/>
      </xdr:nvCxnSpPr>
      <xdr:spPr>
        <a:xfrm>
          <a:off x="15671800" y="6936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5641</xdr:rowOff>
    </xdr:from>
    <xdr:ext cx="762000" cy="259045"/>
    <xdr:sp macro="" textlink="">
      <xdr:nvSpPr>
        <xdr:cNvPr id="317" name="補助費等平均値テキスト"/>
        <xdr:cNvSpPr txBox="1"/>
      </xdr:nvSpPr>
      <xdr:spPr>
        <a:xfrm>
          <a:off x="16598900" y="634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160565</xdr:rowOff>
    </xdr:from>
    <xdr:to>
      <xdr:col>24</xdr:col>
      <xdr:colOff>82550</xdr:colOff>
      <xdr:row>38</xdr:row>
      <xdr:rowOff>90715</xdr:rowOff>
    </xdr:to>
    <xdr:sp macro="" textlink="">
      <xdr:nvSpPr>
        <xdr:cNvPr id="318" name="フローチャート : 判断 317"/>
        <xdr:cNvSpPr/>
      </xdr:nvSpPr>
      <xdr:spPr>
        <a:xfrm>
          <a:off x="16459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78015</xdr:rowOff>
    </xdr:from>
    <xdr:to>
      <xdr:col>22</xdr:col>
      <xdr:colOff>565150</xdr:colOff>
      <xdr:row>40</xdr:row>
      <xdr:rowOff>121557</xdr:rowOff>
    </xdr:to>
    <xdr:cxnSp macro="">
      <xdr:nvCxnSpPr>
        <xdr:cNvPr id="319" name="直線コネクタ 318"/>
        <xdr:cNvCxnSpPr/>
      </xdr:nvCxnSpPr>
      <xdr:spPr>
        <a:xfrm flipV="1">
          <a:off x="14782800" y="6936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1" name="テキスト ボックス 320"/>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88900</xdr:rowOff>
    </xdr:from>
    <xdr:to>
      <xdr:col>21</xdr:col>
      <xdr:colOff>361950</xdr:colOff>
      <xdr:row>40</xdr:row>
      <xdr:rowOff>121557</xdr:rowOff>
    </xdr:to>
    <xdr:cxnSp macro="">
      <xdr:nvCxnSpPr>
        <xdr:cNvPr id="322" name="直線コネクタ 321"/>
        <xdr:cNvCxnSpPr/>
      </xdr:nvCxnSpPr>
      <xdr:spPr>
        <a:xfrm>
          <a:off x="13893800" y="6946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3" name="フローチャート : 判断 32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152599</xdr:rowOff>
    </xdr:from>
    <xdr:ext cx="762000" cy="259045"/>
    <xdr:sp macro="" textlink="">
      <xdr:nvSpPr>
        <xdr:cNvPr id="324" name="テキスト ボックス 323"/>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88900</xdr:rowOff>
    </xdr:from>
    <xdr:to>
      <xdr:col>20</xdr:col>
      <xdr:colOff>158750</xdr:colOff>
      <xdr:row>40</xdr:row>
      <xdr:rowOff>99785</xdr:rowOff>
    </xdr:to>
    <xdr:cxnSp macro="">
      <xdr:nvCxnSpPr>
        <xdr:cNvPr id="325" name="直線コネクタ 324"/>
        <xdr:cNvCxnSpPr/>
      </xdr:nvCxnSpPr>
      <xdr:spPr>
        <a:xfrm flipV="1">
          <a:off x="13004800" y="6946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29936</xdr:rowOff>
    </xdr:from>
    <xdr:to>
      <xdr:col>20</xdr:col>
      <xdr:colOff>209550</xdr:colOff>
      <xdr:row>37</xdr:row>
      <xdr:rowOff>131536</xdr:rowOff>
    </xdr:to>
    <xdr:sp macro="" textlink="">
      <xdr:nvSpPr>
        <xdr:cNvPr id="326" name="フローチャート : 判断 325"/>
        <xdr:cNvSpPr/>
      </xdr:nvSpPr>
      <xdr:spPr>
        <a:xfrm>
          <a:off x="13843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141713</xdr:rowOff>
    </xdr:from>
    <xdr:ext cx="762000" cy="259045"/>
    <xdr:sp macro="" textlink="">
      <xdr:nvSpPr>
        <xdr:cNvPr id="327" name="テキスト ボックス 326"/>
        <xdr:cNvSpPr txBox="1"/>
      </xdr:nvSpPr>
      <xdr:spPr>
        <a:xfrm>
          <a:off x="13512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73478</xdr:rowOff>
    </xdr:from>
    <xdr:to>
      <xdr:col>19</xdr:col>
      <xdr:colOff>6350</xdr:colOff>
      <xdr:row>38</xdr:row>
      <xdr:rowOff>3628</xdr:rowOff>
    </xdr:to>
    <xdr:sp macro="" textlink="">
      <xdr:nvSpPr>
        <xdr:cNvPr id="328" name="フローチャート : 判断 327"/>
        <xdr:cNvSpPr/>
      </xdr:nvSpPr>
      <xdr:spPr>
        <a:xfrm>
          <a:off x="12954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13805</xdr:rowOff>
    </xdr:from>
    <xdr:ext cx="762000" cy="259045"/>
    <xdr:sp macro="" textlink="">
      <xdr:nvSpPr>
        <xdr:cNvPr id="329" name="テキスト ボックス 328"/>
        <xdr:cNvSpPr txBox="1"/>
      </xdr:nvSpPr>
      <xdr:spPr>
        <a:xfrm>
          <a:off x="12623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59872</xdr:rowOff>
    </xdr:from>
    <xdr:to>
      <xdr:col>24</xdr:col>
      <xdr:colOff>82550</xdr:colOff>
      <xdr:row>40</xdr:row>
      <xdr:rowOff>161472</xdr:rowOff>
    </xdr:to>
    <xdr:sp macro="" textlink="">
      <xdr:nvSpPr>
        <xdr:cNvPr id="335" name="円/楕円 334"/>
        <xdr:cNvSpPr/>
      </xdr:nvSpPr>
      <xdr:spPr>
        <a:xfrm>
          <a:off x="164592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139899</xdr:rowOff>
    </xdr:from>
    <xdr:ext cx="762000" cy="259045"/>
    <xdr:sp macro="" textlink="">
      <xdr:nvSpPr>
        <xdr:cNvPr id="336" name="補助費等該当値テキスト"/>
        <xdr:cNvSpPr txBox="1"/>
      </xdr:nvSpPr>
      <xdr:spPr>
        <a:xfrm>
          <a:off x="16598900" y="682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27215</xdr:rowOff>
    </xdr:from>
    <xdr:to>
      <xdr:col>22</xdr:col>
      <xdr:colOff>615950</xdr:colOff>
      <xdr:row>40</xdr:row>
      <xdr:rowOff>128815</xdr:rowOff>
    </xdr:to>
    <xdr:sp macro="" textlink="">
      <xdr:nvSpPr>
        <xdr:cNvPr id="337" name="円/楕円 336"/>
        <xdr:cNvSpPr/>
      </xdr:nvSpPr>
      <xdr:spPr>
        <a:xfrm>
          <a:off x="15621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113592</xdr:rowOff>
    </xdr:from>
    <xdr:ext cx="736600" cy="259045"/>
    <xdr:sp macro="" textlink="">
      <xdr:nvSpPr>
        <xdr:cNvPr id="338" name="テキスト ボックス 337"/>
        <xdr:cNvSpPr txBox="1"/>
      </xdr:nvSpPr>
      <xdr:spPr>
        <a:xfrm>
          <a:off x="15290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70757</xdr:rowOff>
    </xdr:from>
    <xdr:to>
      <xdr:col>21</xdr:col>
      <xdr:colOff>412750</xdr:colOff>
      <xdr:row>41</xdr:row>
      <xdr:rowOff>907</xdr:rowOff>
    </xdr:to>
    <xdr:sp macro="" textlink="">
      <xdr:nvSpPr>
        <xdr:cNvPr id="339" name="円/楕円 338"/>
        <xdr:cNvSpPr/>
      </xdr:nvSpPr>
      <xdr:spPr>
        <a:xfrm>
          <a:off x="14732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157134</xdr:rowOff>
    </xdr:from>
    <xdr:ext cx="762000" cy="259045"/>
    <xdr:sp macro="" textlink="">
      <xdr:nvSpPr>
        <xdr:cNvPr id="340" name="テキスト ボックス 339"/>
        <xdr:cNvSpPr txBox="1"/>
      </xdr:nvSpPr>
      <xdr:spPr>
        <a:xfrm>
          <a:off x="14401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38100</xdr:rowOff>
    </xdr:from>
    <xdr:to>
      <xdr:col>20</xdr:col>
      <xdr:colOff>209550</xdr:colOff>
      <xdr:row>40</xdr:row>
      <xdr:rowOff>139700</xdr:rowOff>
    </xdr:to>
    <xdr:sp macro="" textlink="">
      <xdr:nvSpPr>
        <xdr:cNvPr id="341" name="円/楕円 340"/>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124477</xdr:rowOff>
    </xdr:from>
    <xdr:ext cx="762000" cy="259045"/>
    <xdr:sp macro="" textlink="">
      <xdr:nvSpPr>
        <xdr:cNvPr id="342" name="テキスト ボックス 341"/>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48985</xdr:rowOff>
    </xdr:from>
    <xdr:to>
      <xdr:col>19</xdr:col>
      <xdr:colOff>6350</xdr:colOff>
      <xdr:row>40</xdr:row>
      <xdr:rowOff>150585</xdr:rowOff>
    </xdr:to>
    <xdr:sp macro="" textlink="">
      <xdr:nvSpPr>
        <xdr:cNvPr id="343" name="円/楕円 342"/>
        <xdr:cNvSpPr/>
      </xdr:nvSpPr>
      <xdr:spPr>
        <a:xfrm>
          <a:off x="12954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135362</xdr:rowOff>
    </xdr:from>
    <xdr:ext cx="762000" cy="259045"/>
    <xdr:sp macro="" textlink="">
      <xdr:nvSpPr>
        <xdr:cNvPr id="344" name="テキスト ボックス 343"/>
        <xdr:cNvSpPr txBox="1"/>
      </xdr:nvSpPr>
      <xdr:spPr>
        <a:xfrm>
          <a:off x="12623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公債費のうち市債の利子の割合が、高利率の市債の償還が進んできたことや低金利が続いているため、公債費に係る経常収支比率は類似団体平均を５．０ポイント下回っている。</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120650</xdr:rowOff>
    </xdr:from>
    <xdr:to>
      <xdr:col>7</xdr:col>
      <xdr:colOff>15875</xdr:colOff>
      <xdr:row>82</xdr:row>
      <xdr:rowOff>63500</xdr:rowOff>
    </xdr:to>
    <xdr:cxnSp macro="">
      <xdr:nvCxnSpPr>
        <xdr:cNvPr id="372" name="直線コネクタ 371"/>
        <xdr:cNvCxnSpPr/>
      </xdr:nvCxnSpPr>
      <xdr:spPr>
        <a:xfrm flipV="1">
          <a:off x="4826000" y="12636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35577</xdr:rowOff>
    </xdr:from>
    <xdr:ext cx="762000" cy="259045"/>
    <xdr:sp macro="" textlink="">
      <xdr:nvSpPr>
        <xdr:cNvPr id="373" name="公債費最小値テキスト"/>
        <xdr:cNvSpPr txBox="1"/>
      </xdr:nvSpPr>
      <xdr:spPr>
        <a:xfrm>
          <a:off x="4914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82</xdr:row>
      <xdr:rowOff>63500</xdr:rowOff>
    </xdr:from>
    <xdr:to>
      <xdr:col>7</xdr:col>
      <xdr:colOff>104775</xdr:colOff>
      <xdr:row>82</xdr:row>
      <xdr:rowOff>63500</xdr:rowOff>
    </xdr:to>
    <xdr:cxnSp macro="">
      <xdr:nvCxnSpPr>
        <xdr:cNvPr id="374" name="直線コネクタ 373"/>
        <xdr:cNvCxnSpPr/>
      </xdr:nvCxnSpPr>
      <xdr:spPr>
        <a:xfrm>
          <a:off x="4737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75"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76" name="直線コネクタ 375"/>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95250</xdr:rowOff>
    </xdr:from>
    <xdr:to>
      <xdr:col>7</xdr:col>
      <xdr:colOff>15875</xdr:colOff>
      <xdr:row>73</xdr:row>
      <xdr:rowOff>120650</xdr:rowOff>
    </xdr:to>
    <xdr:cxnSp macro="">
      <xdr:nvCxnSpPr>
        <xdr:cNvPr id="377" name="直線コネクタ 376"/>
        <xdr:cNvCxnSpPr/>
      </xdr:nvCxnSpPr>
      <xdr:spPr>
        <a:xfrm>
          <a:off x="3987800" y="12611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78"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79" name="フローチャート : 判断 378"/>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95250</xdr:rowOff>
    </xdr:from>
    <xdr:to>
      <xdr:col>5</xdr:col>
      <xdr:colOff>549275</xdr:colOff>
      <xdr:row>73</xdr:row>
      <xdr:rowOff>146050</xdr:rowOff>
    </xdr:to>
    <xdr:cxnSp macro="">
      <xdr:nvCxnSpPr>
        <xdr:cNvPr id="380" name="直線コネクタ 379"/>
        <xdr:cNvCxnSpPr/>
      </xdr:nvCxnSpPr>
      <xdr:spPr>
        <a:xfrm flipV="1">
          <a:off x="3098800" y="12611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81" name="フローチャート : 判断 380"/>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80027</xdr:rowOff>
    </xdr:from>
    <xdr:ext cx="736600" cy="259045"/>
    <xdr:sp macro="" textlink="">
      <xdr:nvSpPr>
        <xdr:cNvPr id="382" name="テキスト ボックス 381"/>
        <xdr:cNvSpPr txBox="1"/>
      </xdr:nvSpPr>
      <xdr:spPr>
        <a:xfrm>
          <a:off x="3606800" y="1328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120650</xdr:rowOff>
    </xdr:from>
    <xdr:to>
      <xdr:col>4</xdr:col>
      <xdr:colOff>346075</xdr:colOff>
      <xdr:row>73</xdr:row>
      <xdr:rowOff>146050</xdr:rowOff>
    </xdr:to>
    <xdr:cxnSp macro="">
      <xdr:nvCxnSpPr>
        <xdr:cNvPr id="383" name="直線コネクタ 382"/>
        <xdr:cNvCxnSpPr/>
      </xdr:nvCxnSpPr>
      <xdr:spPr>
        <a:xfrm>
          <a:off x="2209800" y="1263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84" name="フローチャート : 判断 383"/>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85" name="テキスト ボックス 384"/>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120650</xdr:rowOff>
    </xdr:from>
    <xdr:to>
      <xdr:col>3</xdr:col>
      <xdr:colOff>142875</xdr:colOff>
      <xdr:row>74</xdr:row>
      <xdr:rowOff>50800</xdr:rowOff>
    </xdr:to>
    <xdr:cxnSp macro="">
      <xdr:nvCxnSpPr>
        <xdr:cNvPr id="386" name="直線コネクタ 385"/>
        <xdr:cNvCxnSpPr/>
      </xdr:nvCxnSpPr>
      <xdr:spPr>
        <a:xfrm flipV="1">
          <a:off x="1320800" y="1263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120650</xdr:rowOff>
    </xdr:from>
    <xdr:to>
      <xdr:col>3</xdr:col>
      <xdr:colOff>193675</xdr:colOff>
      <xdr:row>78</xdr:row>
      <xdr:rowOff>50800</xdr:rowOff>
    </xdr:to>
    <xdr:sp macro="" textlink="">
      <xdr:nvSpPr>
        <xdr:cNvPr id="387" name="フローチャート : 判断 386"/>
        <xdr:cNvSpPr/>
      </xdr:nvSpPr>
      <xdr:spPr>
        <a:xfrm>
          <a:off x="2159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35577</xdr:rowOff>
    </xdr:from>
    <xdr:ext cx="762000" cy="259045"/>
    <xdr:sp macro="" textlink="">
      <xdr:nvSpPr>
        <xdr:cNvPr id="388" name="テキスト ボックス 387"/>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101600</xdr:rowOff>
    </xdr:from>
    <xdr:to>
      <xdr:col>1</xdr:col>
      <xdr:colOff>676275</xdr:colOff>
      <xdr:row>77</xdr:row>
      <xdr:rowOff>31750</xdr:rowOff>
    </xdr:to>
    <xdr:sp macro="" textlink="">
      <xdr:nvSpPr>
        <xdr:cNvPr id="389" name="フローチャート : 判断 388"/>
        <xdr:cNvSpPr/>
      </xdr:nvSpPr>
      <xdr:spPr>
        <a:xfrm>
          <a:off x="1270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90" name="テキスト ボックス 389"/>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69850</xdr:rowOff>
    </xdr:from>
    <xdr:to>
      <xdr:col>7</xdr:col>
      <xdr:colOff>66675</xdr:colOff>
      <xdr:row>74</xdr:row>
      <xdr:rowOff>0</xdr:rowOff>
    </xdr:to>
    <xdr:sp macro="" textlink="">
      <xdr:nvSpPr>
        <xdr:cNvPr id="396" name="円/楕円 395"/>
        <xdr:cNvSpPr/>
      </xdr:nvSpPr>
      <xdr:spPr>
        <a:xfrm>
          <a:off x="4775200" y="125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149877</xdr:rowOff>
    </xdr:from>
    <xdr:ext cx="762000" cy="259045"/>
    <xdr:sp macro="" textlink="">
      <xdr:nvSpPr>
        <xdr:cNvPr id="397" name="公債費該当値テキスト"/>
        <xdr:cNvSpPr txBox="1"/>
      </xdr:nvSpPr>
      <xdr:spPr>
        <a:xfrm>
          <a:off x="4914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44450</xdr:rowOff>
    </xdr:from>
    <xdr:to>
      <xdr:col>5</xdr:col>
      <xdr:colOff>600075</xdr:colOff>
      <xdr:row>73</xdr:row>
      <xdr:rowOff>146050</xdr:rowOff>
    </xdr:to>
    <xdr:sp macro="" textlink="">
      <xdr:nvSpPr>
        <xdr:cNvPr id="398" name="円/楕円 397"/>
        <xdr:cNvSpPr/>
      </xdr:nvSpPr>
      <xdr:spPr>
        <a:xfrm>
          <a:off x="39370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156227</xdr:rowOff>
    </xdr:from>
    <xdr:ext cx="736600" cy="259045"/>
    <xdr:sp macro="" textlink="">
      <xdr:nvSpPr>
        <xdr:cNvPr id="399" name="テキスト ボックス 398"/>
        <xdr:cNvSpPr txBox="1"/>
      </xdr:nvSpPr>
      <xdr:spPr>
        <a:xfrm>
          <a:off x="3606800" y="123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95250</xdr:rowOff>
    </xdr:from>
    <xdr:to>
      <xdr:col>4</xdr:col>
      <xdr:colOff>396875</xdr:colOff>
      <xdr:row>74</xdr:row>
      <xdr:rowOff>25400</xdr:rowOff>
    </xdr:to>
    <xdr:sp macro="" textlink="">
      <xdr:nvSpPr>
        <xdr:cNvPr id="400" name="円/楕円 399"/>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35577</xdr:rowOff>
    </xdr:from>
    <xdr:ext cx="762000" cy="259045"/>
    <xdr:sp macro="" textlink="">
      <xdr:nvSpPr>
        <xdr:cNvPr id="401" name="テキスト ボックス 400"/>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69850</xdr:rowOff>
    </xdr:from>
    <xdr:to>
      <xdr:col>3</xdr:col>
      <xdr:colOff>193675</xdr:colOff>
      <xdr:row>74</xdr:row>
      <xdr:rowOff>0</xdr:rowOff>
    </xdr:to>
    <xdr:sp macro="" textlink="">
      <xdr:nvSpPr>
        <xdr:cNvPr id="402" name="円/楕円 401"/>
        <xdr:cNvSpPr/>
      </xdr:nvSpPr>
      <xdr:spPr>
        <a:xfrm>
          <a:off x="2159000" y="125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10177</xdr:rowOff>
    </xdr:from>
    <xdr:ext cx="762000" cy="259045"/>
    <xdr:sp macro="" textlink="">
      <xdr:nvSpPr>
        <xdr:cNvPr id="403" name="テキスト ボックス 402"/>
        <xdr:cNvSpPr txBox="1"/>
      </xdr:nvSpPr>
      <xdr:spPr>
        <a:xfrm>
          <a:off x="18288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0</xdr:rowOff>
    </xdr:from>
    <xdr:to>
      <xdr:col>1</xdr:col>
      <xdr:colOff>676275</xdr:colOff>
      <xdr:row>74</xdr:row>
      <xdr:rowOff>101600</xdr:rowOff>
    </xdr:to>
    <xdr:sp macro="" textlink="">
      <xdr:nvSpPr>
        <xdr:cNvPr id="404" name="円/楕円 403"/>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111777</xdr:rowOff>
    </xdr:from>
    <xdr:ext cx="762000" cy="259045"/>
    <xdr:sp macro="" textlink="">
      <xdr:nvSpPr>
        <xdr:cNvPr id="405" name="テキスト ボックス 404"/>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平成２６年度は類似団体平均との差が１．７ポイントに縮まっている</a:t>
          </a:r>
          <a:r>
            <a:rPr kumimoji="1" lang="ja-JP" altLang="en-US" sz="1300">
              <a:solidFill>
                <a:schemeClr val="dk1"/>
              </a:solidFill>
              <a:effectLst/>
              <a:latin typeface="+mn-lt"/>
              <a:ea typeface="+mn-ea"/>
              <a:cs typeface="+mn-cs"/>
            </a:rPr>
            <a:t>が、</a:t>
          </a:r>
          <a:endParaRPr lang="ja-JP" altLang="ja-JP" sz="1300">
            <a:effectLst/>
          </a:endParaRPr>
        </a:p>
        <a:p>
          <a:r>
            <a:rPr kumimoji="1" lang="ja-JP" altLang="en-US" sz="1300">
              <a:latin typeface="ＭＳ Ｐゴシック"/>
            </a:rPr>
            <a:t>本市における、経常収支比率に占める各性質別歳出の順位は概ね同じ状況である。</a:t>
          </a: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6350</xdr:rowOff>
    </xdr:from>
    <xdr:to>
      <xdr:col>24</xdr:col>
      <xdr:colOff>31750</xdr:colOff>
      <xdr:row>82</xdr:row>
      <xdr:rowOff>38100</xdr:rowOff>
    </xdr:to>
    <xdr:cxnSp macro="">
      <xdr:nvCxnSpPr>
        <xdr:cNvPr id="433" name="直線コネクタ 432"/>
        <xdr:cNvCxnSpPr/>
      </xdr:nvCxnSpPr>
      <xdr:spPr>
        <a:xfrm flipV="1">
          <a:off x="16510000" y="12522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10177</xdr:rowOff>
    </xdr:from>
    <xdr:ext cx="762000" cy="259045"/>
    <xdr:sp macro="" textlink="">
      <xdr:nvSpPr>
        <xdr:cNvPr id="434" name="公債費以外最小値テキスト"/>
        <xdr:cNvSpPr txBox="1"/>
      </xdr:nvSpPr>
      <xdr:spPr>
        <a:xfrm>
          <a:off x="16598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82</xdr:row>
      <xdr:rowOff>38100</xdr:rowOff>
    </xdr:from>
    <xdr:to>
      <xdr:col>24</xdr:col>
      <xdr:colOff>120650</xdr:colOff>
      <xdr:row>82</xdr:row>
      <xdr:rowOff>38100</xdr:rowOff>
    </xdr:to>
    <xdr:cxnSp macro="">
      <xdr:nvCxnSpPr>
        <xdr:cNvPr id="435" name="直線コネクタ 434"/>
        <xdr:cNvCxnSpPr/>
      </xdr:nvCxnSpPr>
      <xdr:spPr>
        <a:xfrm>
          <a:off x="16421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92727</xdr:rowOff>
    </xdr:from>
    <xdr:ext cx="762000" cy="259045"/>
    <xdr:sp macro="" textlink="">
      <xdr:nvSpPr>
        <xdr:cNvPr id="436" name="公債費以外最大値テキスト"/>
        <xdr:cNvSpPr txBox="1"/>
      </xdr:nvSpPr>
      <xdr:spPr>
        <a:xfrm>
          <a:off x="165989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628650</xdr:colOff>
      <xdr:row>73</xdr:row>
      <xdr:rowOff>6350</xdr:rowOff>
    </xdr:from>
    <xdr:to>
      <xdr:col>24</xdr:col>
      <xdr:colOff>120650</xdr:colOff>
      <xdr:row>73</xdr:row>
      <xdr:rowOff>6350</xdr:rowOff>
    </xdr:to>
    <xdr:cxnSp macro="">
      <xdr:nvCxnSpPr>
        <xdr:cNvPr id="437" name="直線コネクタ 436"/>
        <xdr:cNvCxnSpPr/>
      </xdr:nvCxnSpPr>
      <xdr:spPr>
        <a:xfrm>
          <a:off x="16421100" y="1252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50800</xdr:rowOff>
    </xdr:from>
    <xdr:to>
      <xdr:col>24</xdr:col>
      <xdr:colOff>31750</xdr:colOff>
      <xdr:row>79</xdr:row>
      <xdr:rowOff>69850</xdr:rowOff>
    </xdr:to>
    <xdr:cxnSp macro="">
      <xdr:nvCxnSpPr>
        <xdr:cNvPr id="438" name="直線コネクタ 437"/>
        <xdr:cNvCxnSpPr/>
      </xdr:nvCxnSpPr>
      <xdr:spPr>
        <a:xfrm>
          <a:off x="15671800" y="13423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9"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40" name="フローチャート : 判断 439"/>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50800</xdr:rowOff>
    </xdr:from>
    <xdr:to>
      <xdr:col>22</xdr:col>
      <xdr:colOff>565150</xdr:colOff>
      <xdr:row>79</xdr:row>
      <xdr:rowOff>120650</xdr:rowOff>
    </xdr:to>
    <xdr:cxnSp macro="">
      <xdr:nvCxnSpPr>
        <xdr:cNvPr id="441" name="直線コネクタ 440"/>
        <xdr:cNvCxnSpPr/>
      </xdr:nvCxnSpPr>
      <xdr:spPr>
        <a:xfrm flipV="1">
          <a:off x="14782800" y="13423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95250</xdr:rowOff>
    </xdr:from>
    <xdr:to>
      <xdr:col>22</xdr:col>
      <xdr:colOff>615950</xdr:colOff>
      <xdr:row>76</xdr:row>
      <xdr:rowOff>25400</xdr:rowOff>
    </xdr:to>
    <xdr:sp macro="" textlink="">
      <xdr:nvSpPr>
        <xdr:cNvPr id="442" name="フローチャート : 判断 441"/>
        <xdr:cNvSpPr/>
      </xdr:nvSpPr>
      <xdr:spPr>
        <a:xfrm>
          <a:off x="15621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35577</xdr:rowOff>
    </xdr:from>
    <xdr:ext cx="736600" cy="259045"/>
    <xdr:sp macro="" textlink="">
      <xdr:nvSpPr>
        <xdr:cNvPr id="443" name="テキスト ボックス 442"/>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82550</xdr:rowOff>
    </xdr:from>
    <xdr:to>
      <xdr:col>21</xdr:col>
      <xdr:colOff>361950</xdr:colOff>
      <xdr:row>79</xdr:row>
      <xdr:rowOff>120650</xdr:rowOff>
    </xdr:to>
    <xdr:cxnSp macro="">
      <xdr:nvCxnSpPr>
        <xdr:cNvPr id="444" name="直線コネクタ 443"/>
        <xdr:cNvCxnSpPr/>
      </xdr:nvCxnSpPr>
      <xdr:spPr>
        <a:xfrm>
          <a:off x="13893800" y="1362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25400</xdr:rowOff>
    </xdr:from>
    <xdr:to>
      <xdr:col>21</xdr:col>
      <xdr:colOff>412750</xdr:colOff>
      <xdr:row>76</xdr:row>
      <xdr:rowOff>127000</xdr:rowOff>
    </xdr:to>
    <xdr:sp macro="" textlink="">
      <xdr:nvSpPr>
        <xdr:cNvPr id="445" name="フローチャート : 判断 444"/>
        <xdr:cNvSpPr/>
      </xdr:nvSpPr>
      <xdr:spPr>
        <a:xfrm>
          <a:off x="147320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137177</xdr:rowOff>
    </xdr:from>
    <xdr:ext cx="762000" cy="259045"/>
    <xdr:sp macro="" textlink="">
      <xdr:nvSpPr>
        <xdr:cNvPr id="446" name="テキスト ボックス 445"/>
        <xdr:cNvSpPr txBox="1"/>
      </xdr:nvSpPr>
      <xdr:spPr>
        <a:xfrm>
          <a:off x="144018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107950</xdr:rowOff>
    </xdr:from>
    <xdr:to>
      <xdr:col>20</xdr:col>
      <xdr:colOff>158750</xdr:colOff>
      <xdr:row>79</xdr:row>
      <xdr:rowOff>82550</xdr:rowOff>
    </xdr:to>
    <xdr:cxnSp macro="">
      <xdr:nvCxnSpPr>
        <xdr:cNvPr id="447" name="直線コネクタ 446"/>
        <xdr:cNvCxnSpPr/>
      </xdr:nvCxnSpPr>
      <xdr:spPr>
        <a:xfrm>
          <a:off x="13004800" y="133096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12700</xdr:rowOff>
    </xdr:from>
    <xdr:to>
      <xdr:col>20</xdr:col>
      <xdr:colOff>209550</xdr:colOff>
      <xdr:row>76</xdr:row>
      <xdr:rowOff>114300</xdr:rowOff>
    </xdr:to>
    <xdr:sp macro="" textlink="">
      <xdr:nvSpPr>
        <xdr:cNvPr id="448" name="フローチャート : 判断 447"/>
        <xdr:cNvSpPr/>
      </xdr:nvSpPr>
      <xdr:spPr>
        <a:xfrm>
          <a:off x="13843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124477</xdr:rowOff>
    </xdr:from>
    <xdr:ext cx="762000" cy="259045"/>
    <xdr:sp macro="" textlink="">
      <xdr:nvSpPr>
        <xdr:cNvPr id="449" name="テキスト ボックス 448"/>
        <xdr:cNvSpPr txBox="1"/>
      </xdr:nvSpPr>
      <xdr:spPr>
        <a:xfrm>
          <a:off x="13512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101600</xdr:rowOff>
    </xdr:from>
    <xdr:to>
      <xdr:col>19</xdr:col>
      <xdr:colOff>6350</xdr:colOff>
      <xdr:row>75</xdr:row>
      <xdr:rowOff>31750</xdr:rowOff>
    </xdr:to>
    <xdr:sp macro="" textlink="">
      <xdr:nvSpPr>
        <xdr:cNvPr id="450" name="フローチャート : 判断 449"/>
        <xdr:cNvSpPr/>
      </xdr:nvSpPr>
      <xdr:spPr>
        <a:xfrm>
          <a:off x="12954000" y="1278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41927</xdr:rowOff>
    </xdr:from>
    <xdr:ext cx="762000" cy="259045"/>
    <xdr:sp macro="" textlink="">
      <xdr:nvSpPr>
        <xdr:cNvPr id="451" name="テキスト ボックス 450"/>
        <xdr:cNvSpPr txBox="1"/>
      </xdr:nvSpPr>
      <xdr:spPr>
        <a:xfrm>
          <a:off x="126238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57" name="円/楕円 456"/>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162577</xdr:rowOff>
    </xdr:from>
    <xdr:ext cx="762000" cy="259045"/>
    <xdr:sp macro="" textlink="">
      <xdr:nvSpPr>
        <xdr:cNvPr id="458"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0</xdr:rowOff>
    </xdr:from>
    <xdr:to>
      <xdr:col>22</xdr:col>
      <xdr:colOff>615950</xdr:colOff>
      <xdr:row>78</xdr:row>
      <xdr:rowOff>101600</xdr:rowOff>
    </xdr:to>
    <xdr:sp macro="" textlink="">
      <xdr:nvSpPr>
        <xdr:cNvPr id="459" name="円/楕円 458"/>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60" name="テキスト ボックス 459"/>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69850</xdr:rowOff>
    </xdr:from>
    <xdr:to>
      <xdr:col>21</xdr:col>
      <xdr:colOff>412750</xdr:colOff>
      <xdr:row>80</xdr:row>
      <xdr:rowOff>0</xdr:rowOff>
    </xdr:to>
    <xdr:sp macro="" textlink="">
      <xdr:nvSpPr>
        <xdr:cNvPr id="461" name="円/楕円 460"/>
        <xdr:cNvSpPr/>
      </xdr:nvSpPr>
      <xdr:spPr>
        <a:xfrm>
          <a:off x="14732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156227</xdr:rowOff>
    </xdr:from>
    <xdr:ext cx="762000" cy="259045"/>
    <xdr:sp macro="" textlink="">
      <xdr:nvSpPr>
        <xdr:cNvPr id="462" name="テキスト ボックス 461"/>
        <xdr:cNvSpPr txBox="1"/>
      </xdr:nvSpPr>
      <xdr:spPr>
        <a:xfrm>
          <a:off x="14401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31750</xdr:rowOff>
    </xdr:from>
    <xdr:to>
      <xdr:col>20</xdr:col>
      <xdr:colOff>209550</xdr:colOff>
      <xdr:row>79</xdr:row>
      <xdr:rowOff>133350</xdr:rowOff>
    </xdr:to>
    <xdr:sp macro="" textlink="">
      <xdr:nvSpPr>
        <xdr:cNvPr id="463" name="円/楕円 462"/>
        <xdr:cNvSpPr/>
      </xdr:nvSpPr>
      <xdr:spPr>
        <a:xfrm>
          <a:off x="13843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118127</xdr:rowOff>
    </xdr:from>
    <xdr:ext cx="762000" cy="259045"/>
    <xdr:sp macro="" textlink="">
      <xdr:nvSpPr>
        <xdr:cNvPr id="464" name="テキスト ボックス 463"/>
        <xdr:cNvSpPr txBox="1"/>
      </xdr:nvSpPr>
      <xdr:spPr>
        <a:xfrm>
          <a:off x="13512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57150</xdr:rowOff>
    </xdr:from>
    <xdr:to>
      <xdr:col>19</xdr:col>
      <xdr:colOff>6350</xdr:colOff>
      <xdr:row>77</xdr:row>
      <xdr:rowOff>158750</xdr:rowOff>
    </xdr:to>
    <xdr:sp macro="" textlink="">
      <xdr:nvSpPr>
        <xdr:cNvPr id="465" name="円/楕円 464"/>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143527</xdr:rowOff>
    </xdr:from>
    <xdr:ext cx="762000" cy="259045"/>
    <xdr:sp macro="" textlink="">
      <xdr:nvSpPr>
        <xdr:cNvPr id="466" name="テキスト ボックス 465"/>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京都府長岡京市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69286</xdr:rowOff>
    </xdr:from>
    <xdr:to>
      <xdr:col>4</xdr:col>
      <xdr:colOff>1117600</xdr:colOff>
      <xdr:row>19</xdr:row>
      <xdr:rowOff>92832</xdr:rowOff>
    </xdr:to>
    <xdr:cxnSp macro="">
      <xdr:nvCxnSpPr>
        <xdr:cNvPr id="43" name="直線コネクタ 42"/>
        <xdr:cNvCxnSpPr/>
      </xdr:nvCxnSpPr>
      <xdr:spPr bwMode="auto">
        <a:xfrm flipV="1">
          <a:off x="5651500" y="2174311"/>
          <a:ext cx="0" cy="12236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64909</xdr:rowOff>
    </xdr:from>
    <xdr:ext cx="762000" cy="259045"/>
    <xdr:sp macro="" textlink="">
      <xdr:nvSpPr>
        <xdr:cNvPr id="44" name="人口1人当たり決算額の推移最小値テキスト130"/>
        <xdr:cNvSpPr txBox="1"/>
      </xdr:nvSpPr>
      <xdr:spPr>
        <a:xfrm>
          <a:off x="5740400" y="337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61,789</a:t>
          </a:r>
          <a:endParaRPr kumimoji="1" lang="ja-JP" altLang="en-US" sz="1000" b="1">
            <a:latin typeface="ＭＳ Ｐゴシック"/>
          </a:endParaRPr>
        </a:p>
      </xdr:txBody>
    </xdr:sp>
    <xdr:clientData/>
  </xdr:oneCellAnchor>
  <xdr:twoCellAnchor>
    <xdr:from>
      <xdr:col>4</xdr:col>
      <xdr:colOff>1028700</xdr:colOff>
      <xdr:row>19</xdr:row>
      <xdr:rowOff>92832</xdr:rowOff>
    </xdr:from>
    <xdr:to>
      <xdr:col>5</xdr:col>
      <xdr:colOff>73025</xdr:colOff>
      <xdr:row>19</xdr:row>
      <xdr:rowOff>92832</xdr:rowOff>
    </xdr:to>
    <xdr:cxnSp macro="">
      <xdr:nvCxnSpPr>
        <xdr:cNvPr id="45" name="直線コネクタ 44"/>
        <xdr:cNvCxnSpPr/>
      </xdr:nvCxnSpPr>
      <xdr:spPr bwMode="auto">
        <a:xfrm>
          <a:off x="5562600" y="33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155663</xdr:rowOff>
    </xdr:from>
    <xdr:ext cx="762000" cy="259045"/>
    <xdr:sp macro="" textlink="">
      <xdr:nvSpPr>
        <xdr:cNvPr id="46" name="人口1人当たり決算額の推移最大値テキスト130"/>
        <xdr:cNvSpPr txBox="1"/>
      </xdr:nvSpPr>
      <xdr:spPr>
        <a:xfrm>
          <a:off x="5740400" y="191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88,554</a:t>
          </a:r>
          <a:endParaRPr kumimoji="1" lang="ja-JP" altLang="en-US" sz="1000" b="1">
            <a:latin typeface="ＭＳ Ｐゴシック"/>
          </a:endParaRPr>
        </a:p>
      </xdr:txBody>
    </xdr:sp>
    <xdr:clientData/>
  </xdr:oneCellAnchor>
  <xdr:twoCellAnchor>
    <xdr:from>
      <xdr:col>4</xdr:col>
      <xdr:colOff>1028700</xdr:colOff>
      <xdr:row>12</xdr:row>
      <xdr:rowOff>69286</xdr:rowOff>
    </xdr:from>
    <xdr:to>
      <xdr:col>5</xdr:col>
      <xdr:colOff>73025</xdr:colOff>
      <xdr:row>12</xdr:row>
      <xdr:rowOff>69286</xdr:rowOff>
    </xdr:to>
    <xdr:cxnSp macro="">
      <xdr:nvCxnSpPr>
        <xdr:cNvPr id="47" name="直線コネクタ 46"/>
        <xdr:cNvCxnSpPr/>
      </xdr:nvCxnSpPr>
      <xdr:spPr bwMode="auto">
        <a:xfrm>
          <a:off x="5562600" y="2174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70521</xdr:rowOff>
    </xdr:from>
    <xdr:to>
      <xdr:col>4</xdr:col>
      <xdr:colOff>1117600</xdr:colOff>
      <xdr:row>17</xdr:row>
      <xdr:rowOff>163881</xdr:rowOff>
    </xdr:to>
    <xdr:cxnSp macro="">
      <xdr:nvCxnSpPr>
        <xdr:cNvPr id="48" name="直線コネクタ 47"/>
        <xdr:cNvCxnSpPr/>
      </xdr:nvCxnSpPr>
      <xdr:spPr bwMode="auto">
        <a:xfrm flipV="1">
          <a:off x="5003800" y="3032796"/>
          <a:ext cx="647700" cy="93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121653</xdr:rowOff>
    </xdr:from>
    <xdr:ext cx="762000" cy="259045"/>
    <xdr:sp macro="" textlink="">
      <xdr:nvSpPr>
        <xdr:cNvPr id="49" name="人口1人当たり決算額の推移平均値テキスト130"/>
        <xdr:cNvSpPr txBox="1"/>
      </xdr:nvSpPr>
      <xdr:spPr>
        <a:xfrm>
          <a:off x="5740400" y="25695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105126</xdr:rowOff>
    </xdr:from>
    <xdr:to>
      <xdr:col>5</xdr:col>
      <xdr:colOff>34925</xdr:colOff>
      <xdr:row>16</xdr:row>
      <xdr:rowOff>35276</xdr:rowOff>
    </xdr:to>
    <xdr:sp macro="" textlink="">
      <xdr:nvSpPr>
        <xdr:cNvPr id="50" name="フローチャート : 判断 49"/>
        <xdr:cNvSpPr/>
      </xdr:nvSpPr>
      <xdr:spPr bwMode="auto">
        <a:xfrm>
          <a:off x="5600700" y="2724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67183</xdr:rowOff>
    </xdr:from>
    <xdr:to>
      <xdr:col>4</xdr:col>
      <xdr:colOff>469900</xdr:colOff>
      <xdr:row>17</xdr:row>
      <xdr:rowOff>163881</xdr:rowOff>
    </xdr:to>
    <xdr:cxnSp macro="">
      <xdr:nvCxnSpPr>
        <xdr:cNvPr id="51" name="直線コネクタ 50"/>
        <xdr:cNvCxnSpPr/>
      </xdr:nvCxnSpPr>
      <xdr:spPr bwMode="auto">
        <a:xfrm>
          <a:off x="4305300" y="3029458"/>
          <a:ext cx="698500" cy="96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88438</xdr:rowOff>
    </xdr:from>
    <xdr:to>
      <xdr:col>4</xdr:col>
      <xdr:colOff>520700</xdr:colOff>
      <xdr:row>17</xdr:row>
      <xdr:rowOff>18588</xdr:rowOff>
    </xdr:to>
    <xdr:sp macro="" textlink="">
      <xdr:nvSpPr>
        <xdr:cNvPr id="52" name="フローチャート : 判断 51"/>
        <xdr:cNvSpPr/>
      </xdr:nvSpPr>
      <xdr:spPr bwMode="auto">
        <a:xfrm>
          <a:off x="4953000" y="2879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28765</xdr:rowOff>
    </xdr:from>
    <xdr:ext cx="736600" cy="259045"/>
    <xdr:sp macro="" textlink="">
      <xdr:nvSpPr>
        <xdr:cNvPr id="53" name="テキスト ボックス 52"/>
        <xdr:cNvSpPr txBox="1"/>
      </xdr:nvSpPr>
      <xdr:spPr>
        <a:xfrm>
          <a:off x="4622800" y="264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68235</xdr:rowOff>
    </xdr:from>
    <xdr:to>
      <xdr:col>3</xdr:col>
      <xdr:colOff>904875</xdr:colOff>
      <xdr:row>17</xdr:row>
      <xdr:rowOff>67183</xdr:rowOff>
    </xdr:to>
    <xdr:cxnSp macro="">
      <xdr:nvCxnSpPr>
        <xdr:cNvPr id="54" name="直線コネクタ 53"/>
        <xdr:cNvCxnSpPr/>
      </xdr:nvCxnSpPr>
      <xdr:spPr bwMode="auto">
        <a:xfrm>
          <a:off x="3606800" y="2859060"/>
          <a:ext cx="698500" cy="170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10531</xdr:rowOff>
    </xdr:from>
    <xdr:to>
      <xdr:col>3</xdr:col>
      <xdr:colOff>955675</xdr:colOff>
      <xdr:row>16</xdr:row>
      <xdr:rowOff>112131</xdr:rowOff>
    </xdr:to>
    <xdr:sp macro="" textlink="">
      <xdr:nvSpPr>
        <xdr:cNvPr id="55" name="フローチャート : 判断 54"/>
        <xdr:cNvSpPr/>
      </xdr:nvSpPr>
      <xdr:spPr bwMode="auto">
        <a:xfrm>
          <a:off x="4254500" y="2801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122308</xdr:rowOff>
    </xdr:from>
    <xdr:ext cx="762000" cy="259045"/>
    <xdr:sp macro="" textlink="">
      <xdr:nvSpPr>
        <xdr:cNvPr id="56" name="テキスト ボックス 55"/>
        <xdr:cNvSpPr txBox="1"/>
      </xdr:nvSpPr>
      <xdr:spPr>
        <a:xfrm>
          <a:off x="3924300" y="257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68235</xdr:rowOff>
    </xdr:from>
    <xdr:to>
      <xdr:col>3</xdr:col>
      <xdr:colOff>206375</xdr:colOff>
      <xdr:row>16</xdr:row>
      <xdr:rowOff>102525</xdr:rowOff>
    </xdr:to>
    <xdr:cxnSp macro="">
      <xdr:nvCxnSpPr>
        <xdr:cNvPr id="57" name="直線コネクタ 56"/>
        <xdr:cNvCxnSpPr/>
      </xdr:nvCxnSpPr>
      <xdr:spPr bwMode="auto">
        <a:xfrm flipV="1">
          <a:off x="2908300" y="2859060"/>
          <a:ext cx="6985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94839</xdr:rowOff>
    </xdr:from>
    <xdr:to>
      <xdr:col>3</xdr:col>
      <xdr:colOff>257175</xdr:colOff>
      <xdr:row>16</xdr:row>
      <xdr:rowOff>24989</xdr:rowOff>
    </xdr:to>
    <xdr:sp macro="" textlink="">
      <xdr:nvSpPr>
        <xdr:cNvPr id="58" name="フローチャート : 判断 57"/>
        <xdr:cNvSpPr/>
      </xdr:nvSpPr>
      <xdr:spPr bwMode="auto">
        <a:xfrm>
          <a:off x="3556000" y="2714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35166</xdr:rowOff>
    </xdr:from>
    <xdr:ext cx="762000" cy="259045"/>
    <xdr:sp macro="" textlink="">
      <xdr:nvSpPr>
        <xdr:cNvPr id="59" name="テキスト ボックス 58"/>
        <xdr:cNvSpPr txBox="1"/>
      </xdr:nvSpPr>
      <xdr:spPr>
        <a:xfrm>
          <a:off x="3225800" y="248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23287</xdr:rowOff>
    </xdr:from>
    <xdr:to>
      <xdr:col>2</xdr:col>
      <xdr:colOff>692150</xdr:colOff>
      <xdr:row>18</xdr:row>
      <xdr:rowOff>124887</xdr:rowOff>
    </xdr:to>
    <xdr:sp macro="" textlink="">
      <xdr:nvSpPr>
        <xdr:cNvPr id="60" name="フローチャート : 判断 59"/>
        <xdr:cNvSpPr/>
      </xdr:nvSpPr>
      <xdr:spPr bwMode="auto">
        <a:xfrm>
          <a:off x="2857500" y="3157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109664</xdr:rowOff>
    </xdr:from>
    <xdr:ext cx="762000" cy="259045"/>
    <xdr:sp macro="" textlink="">
      <xdr:nvSpPr>
        <xdr:cNvPr id="61" name="テキスト ボックス 60"/>
        <xdr:cNvSpPr txBox="1"/>
      </xdr:nvSpPr>
      <xdr:spPr>
        <a:xfrm>
          <a:off x="2527300" y="324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19721</xdr:rowOff>
    </xdr:from>
    <xdr:to>
      <xdr:col>5</xdr:col>
      <xdr:colOff>34925</xdr:colOff>
      <xdr:row>17</xdr:row>
      <xdr:rowOff>121321</xdr:rowOff>
    </xdr:to>
    <xdr:sp macro="" textlink="">
      <xdr:nvSpPr>
        <xdr:cNvPr id="67" name="円/楕円 66"/>
        <xdr:cNvSpPr/>
      </xdr:nvSpPr>
      <xdr:spPr bwMode="auto">
        <a:xfrm>
          <a:off x="5600700" y="298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163248</xdr:rowOff>
    </xdr:from>
    <xdr:ext cx="762000" cy="259045"/>
    <xdr:sp macro="" textlink="">
      <xdr:nvSpPr>
        <xdr:cNvPr id="68" name="人口1人当たり決算額の推移該当値テキスト130"/>
        <xdr:cNvSpPr txBox="1"/>
      </xdr:nvSpPr>
      <xdr:spPr>
        <a:xfrm>
          <a:off x="5740400" y="29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69,777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113081</xdr:rowOff>
    </xdr:from>
    <xdr:to>
      <xdr:col>4</xdr:col>
      <xdr:colOff>520700</xdr:colOff>
      <xdr:row>18</xdr:row>
      <xdr:rowOff>43231</xdr:rowOff>
    </xdr:to>
    <xdr:sp macro="" textlink="">
      <xdr:nvSpPr>
        <xdr:cNvPr id="69" name="円/楕円 68"/>
        <xdr:cNvSpPr/>
      </xdr:nvSpPr>
      <xdr:spPr bwMode="auto">
        <a:xfrm>
          <a:off x="4953000" y="3075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28008</xdr:rowOff>
    </xdr:from>
    <xdr:ext cx="736600" cy="259045"/>
    <xdr:sp macro="" textlink="">
      <xdr:nvSpPr>
        <xdr:cNvPr id="70" name="テキスト ボックス 69"/>
        <xdr:cNvSpPr txBox="1"/>
      </xdr:nvSpPr>
      <xdr:spPr>
        <a:xfrm>
          <a:off x="4622800" y="316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16383</xdr:rowOff>
    </xdr:from>
    <xdr:to>
      <xdr:col>3</xdr:col>
      <xdr:colOff>955675</xdr:colOff>
      <xdr:row>17</xdr:row>
      <xdr:rowOff>117983</xdr:rowOff>
    </xdr:to>
    <xdr:sp macro="" textlink="">
      <xdr:nvSpPr>
        <xdr:cNvPr id="71" name="円/楕円 70"/>
        <xdr:cNvSpPr/>
      </xdr:nvSpPr>
      <xdr:spPr bwMode="auto">
        <a:xfrm>
          <a:off x="4254500" y="2978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102760</xdr:rowOff>
    </xdr:from>
    <xdr:ext cx="762000" cy="259045"/>
    <xdr:sp macro="" textlink="">
      <xdr:nvSpPr>
        <xdr:cNvPr id="72" name="テキスト ボックス 71"/>
        <xdr:cNvSpPr txBox="1"/>
      </xdr:nvSpPr>
      <xdr:spPr>
        <a:xfrm>
          <a:off x="3924300" y="306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69,850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17435</xdr:rowOff>
    </xdr:from>
    <xdr:to>
      <xdr:col>3</xdr:col>
      <xdr:colOff>257175</xdr:colOff>
      <xdr:row>16</xdr:row>
      <xdr:rowOff>119035</xdr:rowOff>
    </xdr:to>
    <xdr:sp macro="" textlink="">
      <xdr:nvSpPr>
        <xdr:cNvPr id="73" name="円/楕円 72"/>
        <xdr:cNvSpPr/>
      </xdr:nvSpPr>
      <xdr:spPr bwMode="auto">
        <a:xfrm>
          <a:off x="3556000" y="280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103812</xdr:rowOff>
    </xdr:from>
    <xdr:ext cx="762000" cy="259045"/>
    <xdr:sp macro="" textlink="">
      <xdr:nvSpPr>
        <xdr:cNvPr id="74" name="テキスト ボックス 73"/>
        <xdr:cNvSpPr txBox="1"/>
      </xdr:nvSpPr>
      <xdr:spPr>
        <a:xfrm>
          <a:off x="3225800" y="28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73,577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51725</xdr:rowOff>
    </xdr:from>
    <xdr:to>
      <xdr:col>2</xdr:col>
      <xdr:colOff>692150</xdr:colOff>
      <xdr:row>16</xdr:row>
      <xdr:rowOff>153325</xdr:rowOff>
    </xdr:to>
    <xdr:sp macro="" textlink="">
      <xdr:nvSpPr>
        <xdr:cNvPr id="75" name="円/楕円 74"/>
        <xdr:cNvSpPr/>
      </xdr:nvSpPr>
      <xdr:spPr bwMode="auto">
        <a:xfrm>
          <a:off x="2857500" y="284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163502</xdr:rowOff>
    </xdr:from>
    <xdr:ext cx="762000" cy="259045"/>
    <xdr:sp macro="" textlink="">
      <xdr:nvSpPr>
        <xdr:cNvPr id="76" name="テキスト ボックス 75"/>
        <xdr:cNvSpPr txBox="1"/>
      </xdr:nvSpPr>
      <xdr:spPr>
        <a:xfrm>
          <a:off x="2527300" y="26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230418</xdr:rowOff>
    </xdr:from>
    <xdr:to>
      <xdr:col>4</xdr:col>
      <xdr:colOff>1117600</xdr:colOff>
      <xdr:row>37</xdr:row>
      <xdr:rowOff>272847</xdr:rowOff>
    </xdr:to>
    <xdr:cxnSp macro="">
      <xdr:nvCxnSpPr>
        <xdr:cNvPr id="103" name="直線コネクタ 102"/>
        <xdr:cNvCxnSpPr/>
      </xdr:nvCxnSpPr>
      <xdr:spPr bwMode="auto">
        <a:xfrm flipV="1">
          <a:off x="5651500" y="6154968"/>
          <a:ext cx="0" cy="12425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283024</xdr:rowOff>
    </xdr:from>
    <xdr:ext cx="762000" cy="259045"/>
    <xdr:sp macro="" textlink="">
      <xdr:nvSpPr>
        <xdr:cNvPr id="104" name="人口1人当たり決算額の推移最小値テキスト445"/>
        <xdr:cNvSpPr txBox="1"/>
      </xdr:nvSpPr>
      <xdr:spPr>
        <a:xfrm>
          <a:off x="5740400" y="740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dr:col>4</xdr:col>
      <xdr:colOff>1028700</xdr:colOff>
      <xdr:row>37</xdr:row>
      <xdr:rowOff>272847</xdr:rowOff>
    </xdr:from>
    <xdr:to>
      <xdr:col>5</xdr:col>
      <xdr:colOff>73025</xdr:colOff>
      <xdr:row>37</xdr:row>
      <xdr:rowOff>272847</xdr:rowOff>
    </xdr:to>
    <xdr:cxnSp macro="">
      <xdr:nvCxnSpPr>
        <xdr:cNvPr id="105" name="直線コネクタ 104"/>
        <xdr:cNvCxnSpPr/>
      </xdr:nvCxnSpPr>
      <xdr:spPr bwMode="auto">
        <a:xfrm>
          <a:off x="5562600" y="7397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145345</xdr:rowOff>
    </xdr:from>
    <xdr:ext cx="762000" cy="259045"/>
    <xdr:sp macro="" textlink="">
      <xdr:nvSpPr>
        <xdr:cNvPr id="106" name="人口1人当たり決算額の推移最大値テキスト445"/>
        <xdr:cNvSpPr txBox="1"/>
      </xdr:nvSpPr>
      <xdr:spPr>
        <a:xfrm>
          <a:off x="5740400" y="589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28,988</a:t>
          </a:r>
          <a:endParaRPr kumimoji="1" lang="ja-JP" altLang="en-US" sz="1000" b="1">
            <a:latin typeface="ＭＳ Ｐゴシック"/>
          </a:endParaRPr>
        </a:p>
      </xdr:txBody>
    </xdr:sp>
    <xdr:clientData/>
  </xdr:oneCellAnchor>
  <xdr:twoCellAnchor>
    <xdr:from>
      <xdr:col>4</xdr:col>
      <xdr:colOff>1028700</xdr:colOff>
      <xdr:row>33</xdr:row>
      <xdr:rowOff>230418</xdr:rowOff>
    </xdr:from>
    <xdr:to>
      <xdr:col>5</xdr:col>
      <xdr:colOff>73025</xdr:colOff>
      <xdr:row>33</xdr:row>
      <xdr:rowOff>230418</xdr:rowOff>
    </xdr:to>
    <xdr:cxnSp macro="">
      <xdr:nvCxnSpPr>
        <xdr:cNvPr id="107" name="直線コネクタ 106"/>
        <xdr:cNvCxnSpPr/>
      </xdr:nvCxnSpPr>
      <xdr:spPr bwMode="auto">
        <a:xfrm>
          <a:off x="5562600" y="6154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261965</xdr:rowOff>
    </xdr:from>
    <xdr:to>
      <xdr:col>4</xdr:col>
      <xdr:colOff>1117600</xdr:colOff>
      <xdr:row>37</xdr:row>
      <xdr:rowOff>272847</xdr:rowOff>
    </xdr:to>
    <xdr:cxnSp macro="">
      <xdr:nvCxnSpPr>
        <xdr:cNvPr id="108" name="直線コネクタ 107"/>
        <xdr:cNvCxnSpPr/>
      </xdr:nvCxnSpPr>
      <xdr:spPr bwMode="auto">
        <a:xfrm>
          <a:off x="5003800" y="7386665"/>
          <a:ext cx="647700" cy="10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220011</xdr:rowOff>
    </xdr:from>
    <xdr:ext cx="762000" cy="259045"/>
    <xdr:sp macro="" textlink="">
      <xdr:nvSpPr>
        <xdr:cNvPr id="109" name="人口1人当たり決算額の推移平均値テキスト445"/>
        <xdr:cNvSpPr txBox="1"/>
      </xdr:nvSpPr>
      <xdr:spPr>
        <a:xfrm>
          <a:off x="5740400" y="6487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32034</xdr:rowOff>
    </xdr:from>
    <xdr:to>
      <xdr:col>5</xdr:col>
      <xdr:colOff>34925</xdr:colOff>
      <xdr:row>35</xdr:row>
      <xdr:rowOff>133634</xdr:rowOff>
    </xdr:to>
    <xdr:sp macro="" textlink="">
      <xdr:nvSpPr>
        <xdr:cNvPr id="110" name="フローチャート : 判断 109"/>
        <xdr:cNvSpPr/>
      </xdr:nvSpPr>
      <xdr:spPr bwMode="auto">
        <a:xfrm>
          <a:off x="5600700" y="6642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247701</xdr:rowOff>
    </xdr:from>
    <xdr:to>
      <xdr:col>4</xdr:col>
      <xdr:colOff>469900</xdr:colOff>
      <xdr:row>37</xdr:row>
      <xdr:rowOff>261965</xdr:rowOff>
    </xdr:to>
    <xdr:cxnSp macro="">
      <xdr:nvCxnSpPr>
        <xdr:cNvPr id="111" name="直線コネクタ 110"/>
        <xdr:cNvCxnSpPr/>
      </xdr:nvCxnSpPr>
      <xdr:spPr bwMode="auto">
        <a:xfrm>
          <a:off x="4305300" y="7372401"/>
          <a:ext cx="698500" cy="1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64450</xdr:rowOff>
    </xdr:from>
    <xdr:to>
      <xdr:col>4</xdr:col>
      <xdr:colOff>520700</xdr:colOff>
      <xdr:row>35</xdr:row>
      <xdr:rowOff>166050</xdr:rowOff>
    </xdr:to>
    <xdr:sp macro="" textlink="">
      <xdr:nvSpPr>
        <xdr:cNvPr id="112" name="フローチャート : 判断 111"/>
        <xdr:cNvSpPr/>
      </xdr:nvSpPr>
      <xdr:spPr bwMode="auto">
        <a:xfrm>
          <a:off x="4953000" y="667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176227</xdr:rowOff>
    </xdr:from>
    <xdr:ext cx="736600" cy="259045"/>
    <xdr:sp macro="" textlink="">
      <xdr:nvSpPr>
        <xdr:cNvPr id="113" name="テキスト ボックス 112"/>
        <xdr:cNvSpPr txBox="1"/>
      </xdr:nvSpPr>
      <xdr:spPr>
        <a:xfrm>
          <a:off x="4622800" y="644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216429</xdr:rowOff>
    </xdr:from>
    <xdr:to>
      <xdr:col>3</xdr:col>
      <xdr:colOff>904875</xdr:colOff>
      <xdr:row>37</xdr:row>
      <xdr:rowOff>247701</xdr:rowOff>
    </xdr:to>
    <xdr:cxnSp macro="">
      <xdr:nvCxnSpPr>
        <xdr:cNvPr id="114" name="直線コネクタ 113"/>
        <xdr:cNvCxnSpPr/>
      </xdr:nvCxnSpPr>
      <xdr:spPr bwMode="auto">
        <a:xfrm>
          <a:off x="3606800" y="7341129"/>
          <a:ext cx="698500" cy="3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13060</xdr:rowOff>
    </xdr:from>
    <xdr:to>
      <xdr:col>3</xdr:col>
      <xdr:colOff>955675</xdr:colOff>
      <xdr:row>35</xdr:row>
      <xdr:rowOff>114660</xdr:rowOff>
    </xdr:to>
    <xdr:sp macro="" textlink="">
      <xdr:nvSpPr>
        <xdr:cNvPr id="115" name="フローチャート : 判断 114"/>
        <xdr:cNvSpPr/>
      </xdr:nvSpPr>
      <xdr:spPr bwMode="auto">
        <a:xfrm>
          <a:off x="4254500" y="662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124838</xdr:rowOff>
    </xdr:from>
    <xdr:ext cx="762000" cy="259045"/>
    <xdr:sp macro="" textlink="">
      <xdr:nvSpPr>
        <xdr:cNvPr id="116" name="テキスト ボックス 115"/>
        <xdr:cNvSpPr txBox="1"/>
      </xdr:nvSpPr>
      <xdr:spPr>
        <a:xfrm>
          <a:off x="3924300" y="639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82057</xdr:rowOff>
    </xdr:from>
    <xdr:to>
      <xdr:col>3</xdr:col>
      <xdr:colOff>206375</xdr:colOff>
      <xdr:row>37</xdr:row>
      <xdr:rowOff>216429</xdr:rowOff>
    </xdr:to>
    <xdr:cxnSp macro="">
      <xdr:nvCxnSpPr>
        <xdr:cNvPr id="117" name="直線コネクタ 116"/>
        <xdr:cNvCxnSpPr/>
      </xdr:nvCxnSpPr>
      <xdr:spPr bwMode="auto">
        <a:xfrm>
          <a:off x="2908300" y="7035307"/>
          <a:ext cx="698500" cy="305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312435</xdr:rowOff>
    </xdr:from>
    <xdr:to>
      <xdr:col>3</xdr:col>
      <xdr:colOff>257175</xdr:colOff>
      <xdr:row>35</xdr:row>
      <xdr:rowOff>71135</xdr:rowOff>
    </xdr:to>
    <xdr:sp macro="" textlink="">
      <xdr:nvSpPr>
        <xdr:cNvPr id="118" name="フローチャート : 判断 117"/>
        <xdr:cNvSpPr/>
      </xdr:nvSpPr>
      <xdr:spPr bwMode="auto">
        <a:xfrm>
          <a:off x="3556000" y="6579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81312</xdr:rowOff>
    </xdr:from>
    <xdr:ext cx="762000" cy="259045"/>
    <xdr:sp macro="" textlink="">
      <xdr:nvSpPr>
        <xdr:cNvPr id="119" name="テキスト ボックス 118"/>
        <xdr:cNvSpPr txBox="1"/>
      </xdr:nvSpPr>
      <xdr:spPr>
        <a:xfrm>
          <a:off x="3225800" y="634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88224</xdr:rowOff>
    </xdr:from>
    <xdr:to>
      <xdr:col>2</xdr:col>
      <xdr:colOff>692150</xdr:colOff>
      <xdr:row>35</xdr:row>
      <xdr:rowOff>189824</xdr:rowOff>
    </xdr:to>
    <xdr:sp macro="" textlink="">
      <xdr:nvSpPr>
        <xdr:cNvPr id="120" name="フローチャート : 判断 119"/>
        <xdr:cNvSpPr/>
      </xdr:nvSpPr>
      <xdr:spPr bwMode="auto">
        <a:xfrm>
          <a:off x="2857500" y="6698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200001</xdr:rowOff>
    </xdr:from>
    <xdr:ext cx="762000" cy="259045"/>
    <xdr:sp macro="" textlink="">
      <xdr:nvSpPr>
        <xdr:cNvPr id="121" name="テキスト ボックス 120"/>
        <xdr:cNvSpPr txBox="1"/>
      </xdr:nvSpPr>
      <xdr:spPr>
        <a:xfrm>
          <a:off x="2527300" y="646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222047</xdr:rowOff>
    </xdr:from>
    <xdr:to>
      <xdr:col>5</xdr:col>
      <xdr:colOff>34925</xdr:colOff>
      <xdr:row>37</xdr:row>
      <xdr:rowOff>323647</xdr:rowOff>
    </xdr:to>
    <xdr:sp macro="" textlink="">
      <xdr:nvSpPr>
        <xdr:cNvPr id="127" name="円/楕円 126"/>
        <xdr:cNvSpPr/>
      </xdr:nvSpPr>
      <xdr:spPr bwMode="auto">
        <a:xfrm>
          <a:off x="5600700" y="7346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130624</xdr:rowOff>
    </xdr:from>
    <xdr:ext cx="762000" cy="259045"/>
    <xdr:sp macro="" textlink="">
      <xdr:nvSpPr>
        <xdr:cNvPr id="128" name="人口1人当たり決算額の推移該当値テキスト445"/>
        <xdr:cNvSpPr txBox="1"/>
      </xdr:nvSpPr>
      <xdr:spPr>
        <a:xfrm>
          <a:off x="5740400" y="725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211165</xdr:rowOff>
    </xdr:from>
    <xdr:to>
      <xdr:col>4</xdr:col>
      <xdr:colOff>520700</xdr:colOff>
      <xdr:row>37</xdr:row>
      <xdr:rowOff>312765</xdr:rowOff>
    </xdr:to>
    <xdr:sp macro="" textlink="">
      <xdr:nvSpPr>
        <xdr:cNvPr id="129" name="円/楕円 128"/>
        <xdr:cNvSpPr/>
      </xdr:nvSpPr>
      <xdr:spPr bwMode="auto">
        <a:xfrm>
          <a:off x="4953000" y="733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297542</xdr:rowOff>
    </xdr:from>
    <xdr:ext cx="736600" cy="259045"/>
    <xdr:sp macro="" textlink="">
      <xdr:nvSpPr>
        <xdr:cNvPr id="130" name="テキスト ボックス 129"/>
        <xdr:cNvSpPr txBox="1"/>
      </xdr:nvSpPr>
      <xdr:spPr>
        <a:xfrm>
          <a:off x="4622800" y="742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196901</xdr:rowOff>
    </xdr:from>
    <xdr:to>
      <xdr:col>3</xdr:col>
      <xdr:colOff>955675</xdr:colOff>
      <xdr:row>37</xdr:row>
      <xdr:rowOff>298501</xdr:rowOff>
    </xdr:to>
    <xdr:sp macro="" textlink="">
      <xdr:nvSpPr>
        <xdr:cNvPr id="131" name="円/楕円 130"/>
        <xdr:cNvSpPr/>
      </xdr:nvSpPr>
      <xdr:spPr bwMode="auto">
        <a:xfrm>
          <a:off x="4254500" y="7321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283278</xdr:rowOff>
    </xdr:from>
    <xdr:ext cx="762000" cy="259045"/>
    <xdr:sp macro="" textlink="">
      <xdr:nvSpPr>
        <xdr:cNvPr id="132" name="テキスト ボックス 131"/>
        <xdr:cNvSpPr txBox="1"/>
      </xdr:nvSpPr>
      <xdr:spPr>
        <a:xfrm>
          <a:off x="3924300" y="740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165629</xdr:rowOff>
    </xdr:from>
    <xdr:to>
      <xdr:col>3</xdr:col>
      <xdr:colOff>257175</xdr:colOff>
      <xdr:row>37</xdr:row>
      <xdr:rowOff>267229</xdr:rowOff>
    </xdr:to>
    <xdr:sp macro="" textlink="">
      <xdr:nvSpPr>
        <xdr:cNvPr id="133" name="円/楕円 132"/>
        <xdr:cNvSpPr/>
      </xdr:nvSpPr>
      <xdr:spPr bwMode="auto">
        <a:xfrm>
          <a:off x="3556000" y="729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252006</xdr:rowOff>
    </xdr:from>
    <xdr:ext cx="762000" cy="259045"/>
    <xdr:sp macro="" textlink="">
      <xdr:nvSpPr>
        <xdr:cNvPr id="134" name="テキスト ボックス 133"/>
        <xdr:cNvSpPr txBox="1"/>
      </xdr:nvSpPr>
      <xdr:spPr>
        <a:xfrm>
          <a:off x="3225800" y="737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31257</xdr:rowOff>
    </xdr:from>
    <xdr:to>
      <xdr:col>2</xdr:col>
      <xdr:colOff>692150</xdr:colOff>
      <xdr:row>36</xdr:row>
      <xdr:rowOff>132857</xdr:rowOff>
    </xdr:to>
    <xdr:sp macro="" textlink="">
      <xdr:nvSpPr>
        <xdr:cNvPr id="135" name="円/楕円 134"/>
        <xdr:cNvSpPr/>
      </xdr:nvSpPr>
      <xdr:spPr bwMode="auto">
        <a:xfrm>
          <a:off x="2857500" y="6984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117634</xdr:rowOff>
    </xdr:from>
    <xdr:ext cx="762000" cy="259045"/>
    <xdr:sp macro="" textlink="">
      <xdr:nvSpPr>
        <xdr:cNvPr id="136" name="テキスト ボックス 135"/>
        <xdr:cNvSpPr txBox="1"/>
      </xdr:nvSpPr>
      <xdr:spPr>
        <a:xfrm>
          <a:off x="2527300" y="707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実質収支比率に関しては、望ましいとされる３～５</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台にほぼ収まっているので財政上の健全性は保たれている。実質収支比率は、財政運営の状況を判断する指標の一つとなるので今後も適正水準を維持する必要がある。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民生費を中心に財政需要が伸びる中、業務効率化に取り組んできたことにより、全会計で黒字になった。今後もさらに事業の見直しを進め、持続可能な財政構造の構築を目指す。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平成２６年度は元利償還金が前年度を上回ったものの、算入公債費が増加したことにより、分子は前年度に比べ改善された。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臨時財政対策債をはじめ各大型事業の実施により、地方債残高が増加し、将来負担比率の分子は増加している。今後も公債費等義務的経費の削減を中心とする行財政改革を進め、財政の健全化に努める。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16" workbookViewId="0">
      <selection activeCell="AO35" sqref="AO35:BC3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28361021</v>
      </c>
      <c r="BO4" s="379"/>
      <c r="BP4" s="379"/>
      <c r="BQ4" s="379"/>
      <c r="BR4" s="379"/>
      <c r="BS4" s="379"/>
      <c r="BT4" s="379"/>
      <c r="BU4" s="380"/>
      <c r="BV4" s="378">
        <v>28046872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v>
      </c>
      <c r="CU4" s="556"/>
      <c r="CV4" s="556"/>
      <c r="CW4" s="556"/>
      <c r="CX4" s="556"/>
      <c r="CY4" s="556"/>
      <c r="CZ4" s="556"/>
      <c r="DA4" s="557"/>
      <c r="DB4" s="555">
        <v>4.4000000000000004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27437756</v>
      </c>
      <c r="BO5" s="384"/>
      <c r="BP5" s="384"/>
      <c r="BQ5" s="384"/>
      <c r="BR5" s="384"/>
      <c r="BS5" s="384"/>
      <c r="BT5" s="384"/>
      <c r="BU5" s="385"/>
      <c r="BV5" s="383">
        <v>27265529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93.7</v>
      </c>
      <c r="CU5" s="354"/>
      <c r="CV5" s="354"/>
      <c r="CW5" s="354"/>
      <c r="CX5" s="354"/>
      <c r="CY5" s="354"/>
      <c r="CZ5" s="354"/>
      <c r="DA5" s="355"/>
      <c r="DB5" s="353">
        <v>92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923265</v>
      </c>
      <c r="BO6" s="384"/>
      <c r="BP6" s="384"/>
      <c r="BQ6" s="384"/>
      <c r="BR6" s="384"/>
      <c r="BS6" s="384"/>
      <c r="BT6" s="384"/>
      <c r="BU6" s="385"/>
      <c r="BV6" s="383">
        <v>781343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103.1</v>
      </c>
      <c r="CU6" s="530"/>
      <c r="CV6" s="530"/>
      <c r="CW6" s="530"/>
      <c r="CX6" s="530"/>
      <c r="CY6" s="530"/>
      <c r="CZ6" s="530"/>
      <c r="DA6" s="531"/>
      <c r="DB6" s="529">
        <v>102.8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132072</v>
      </c>
      <c r="BO7" s="384"/>
      <c r="BP7" s="384"/>
      <c r="BQ7" s="384"/>
      <c r="BR7" s="384"/>
      <c r="BS7" s="384"/>
      <c r="BT7" s="384"/>
      <c r="BU7" s="385"/>
      <c r="BV7" s="383">
        <v>91539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15856430</v>
      </c>
      <c r="CU7" s="384"/>
      <c r="CV7" s="384"/>
      <c r="CW7" s="384"/>
      <c r="CX7" s="384"/>
      <c r="CY7" s="384"/>
      <c r="CZ7" s="384"/>
      <c r="DA7" s="385"/>
      <c r="DB7" s="383">
        <v>15676016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791193</v>
      </c>
      <c r="BO8" s="384"/>
      <c r="BP8" s="384"/>
      <c r="BQ8" s="384"/>
      <c r="BR8" s="384"/>
      <c r="BS8" s="384"/>
      <c r="BT8" s="384"/>
      <c r="BU8" s="385"/>
      <c r="BV8" s="383">
        <v>689804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0.83</v>
      </c>
      <c r="CU8" s="493"/>
      <c r="CV8" s="493"/>
      <c r="CW8" s="493"/>
      <c r="CX8" s="493"/>
      <c r="CY8" s="493"/>
      <c r="CZ8" s="493"/>
      <c r="DA8" s="494"/>
      <c r="DB8" s="492">
        <v>0.82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79844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101389</v>
      </c>
      <c r="BO9" s="384"/>
      <c r="BP9" s="384"/>
      <c r="BQ9" s="384"/>
      <c r="BR9" s="384"/>
      <c r="BS9" s="384"/>
      <c r="BT9" s="384"/>
      <c r="BU9" s="385"/>
      <c r="BV9" s="383">
        <v>32565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11.3</v>
      </c>
      <c r="CU9" s="354"/>
      <c r="CV9" s="354"/>
      <c r="CW9" s="354"/>
      <c r="CX9" s="354"/>
      <c r="CY9" s="354"/>
      <c r="CZ9" s="354"/>
      <c r="DA9" s="355"/>
      <c r="DB9" s="353">
        <v>11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78335</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7156</v>
      </c>
      <c r="BO10" s="384"/>
      <c r="BP10" s="384"/>
      <c r="BQ10" s="384"/>
      <c r="BR10" s="384"/>
      <c r="BS10" s="384"/>
      <c r="BT10" s="384"/>
      <c r="BU10" s="385"/>
      <c r="BV10" s="383">
        <v>256037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80222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79665</v>
      </c>
      <c r="S13" s="485"/>
      <c r="T13" s="485"/>
      <c r="U13" s="485"/>
      <c r="V13" s="486"/>
      <c r="W13" s="472" t="s">
        <v>124</v>
      </c>
      <c r="X13" s="396"/>
      <c r="Y13" s="396"/>
      <c r="Z13" s="396"/>
      <c r="AA13" s="396"/>
      <c r="AB13" s="397"/>
      <c r="AC13" s="359">
        <v>355</v>
      </c>
      <c r="AD13" s="360"/>
      <c r="AE13" s="360"/>
      <c r="AF13" s="360"/>
      <c r="AG13" s="361"/>
      <c r="AH13" s="359">
        <v>446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108545</v>
      </c>
      <c r="BO13" s="384"/>
      <c r="BP13" s="384"/>
      <c r="BQ13" s="384"/>
      <c r="BR13" s="384"/>
      <c r="BS13" s="384"/>
      <c r="BT13" s="384"/>
      <c r="BU13" s="385"/>
      <c r="BV13" s="383">
        <v>288602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v>
      </c>
      <c r="CU13" s="354"/>
      <c r="CV13" s="354"/>
      <c r="CW13" s="354"/>
      <c r="CX13" s="354"/>
      <c r="CY13" s="354"/>
      <c r="CZ13" s="354"/>
      <c r="DA13" s="355"/>
      <c r="DB13" s="353">
        <v>1.4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80254</v>
      </c>
      <c r="S14" s="485"/>
      <c r="T14" s="485"/>
      <c r="U14" s="485"/>
      <c r="V14" s="486"/>
      <c r="W14" s="487"/>
      <c r="X14" s="399"/>
      <c r="Y14" s="399"/>
      <c r="Z14" s="399"/>
      <c r="AA14" s="399"/>
      <c r="AB14" s="400"/>
      <c r="AC14" s="477">
        <v>1</v>
      </c>
      <c r="AD14" s="478"/>
      <c r="AE14" s="478"/>
      <c r="AF14" s="478"/>
      <c r="AG14" s="479"/>
      <c r="AH14" s="477">
        <v>1.2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3</v>
      </c>
      <c r="CU14" s="456"/>
      <c r="CV14" s="456"/>
      <c r="CW14" s="456"/>
      <c r="CX14" s="456"/>
      <c r="CY14" s="456"/>
      <c r="CZ14" s="456"/>
      <c r="DA14" s="457"/>
      <c r="DB14" s="488">
        <v>1.5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79691</v>
      </c>
      <c r="S15" s="485"/>
      <c r="T15" s="485"/>
      <c r="U15" s="485"/>
      <c r="V15" s="486"/>
      <c r="W15" s="472" t="s">
        <v>131</v>
      </c>
      <c r="X15" s="396"/>
      <c r="Y15" s="396"/>
      <c r="Z15" s="396"/>
      <c r="AA15" s="396"/>
      <c r="AB15" s="397"/>
      <c r="AC15" s="359">
        <v>9572</v>
      </c>
      <c r="AD15" s="360"/>
      <c r="AE15" s="360"/>
      <c r="AF15" s="360"/>
      <c r="AG15" s="361"/>
      <c r="AH15" s="359">
        <v>10151</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9535085</v>
      </c>
      <c r="BO15" s="379"/>
      <c r="BP15" s="379"/>
      <c r="BQ15" s="379"/>
      <c r="BR15" s="379"/>
      <c r="BS15" s="379"/>
      <c r="BT15" s="379"/>
      <c r="BU15" s="380"/>
      <c r="BV15" s="378">
        <v>9202368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27.1</v>
      </c>
      <c r="AD16" s="478"/>
      <c r="AE16" s="478"/>
      <c r="AF16" s="478"/>
      <c r="AG16" s="479"/>
      <c r="AH16" s="477">
        <v>27.3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11525012</v>
      </c>
      <c r="BO16" s="384"/>
      <c r="BP16" s="384"/>
      <c r="BQ16" s="384"/>
      <c r="BR16" s="384"/>
      <c r="BS16" s="384"/>
      <c r="BT16" s="384"/>
      <c r="BU16" s="385"/>
      <c r="BV16" s="383">
        <v>11183686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25363</v>
      </c>
      <c r="AD17" s="360"/>
      <c r="AE17" s="360"/>
      <c r="AF17" s="360"/>
      <c r="AG17" s="361"/>
      <c r="AH17" s="359">
        <v>26120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12367625</v>
      </c>
      <c r="BO17" s="384"/>
      <c r="BP17" s="384"/>
      <c r="BQ17" s="384"/>
      <c r="BR17" s="384"/>
      <c r="BS17" s="384"/>
      <c r="BT17" s="384"/>
      <c r="BU17" s="385"/>
      <c r="BV17" s="383">
        <v>11987150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19.170000000000002</v>
      </c>
      <c r="M18" s="448"/>
      <c r="N18" s="448"/>
      <c r="O18" s="448"/>
      <c r="P18" s="448"/>
      <c r="Q18" s="448"/>
      <c r="R18" s="449"/>
      <c r="S18" s="449"/>
      <c r="T18" s="449"/>
      <c r="U18" s="449"/>
      <c r="V18" s="450"/>
      <c r="W18" s="464"/>
      <c r="X18" s="465"/>
      <c r="Y18" s="465"/>
      <c r="Z18" s="465"/>
      <c r="AA18" s="465"/>
      <c r="AB18" s="473"/>
      <c r="AC18" s="347">
        <v>71.900000000000006</v>
      </c>
      <c r="AD18" s="348"/>
      <c r="AE18" s="348"/>
      <c r="AF18" s="348"/>
      <c r="AG18" s="451"/>
      <c r="AH18" s="347">
        <v>70.2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15406179</v>
      </c>
      <c r="BO18" s="384"/>
      <c r="BP18" s="384"/>
      <c r="BQ18" s="384"/>
      <c r="BR18" s="384"/>
      <c r="BS18" s="384"/>
      <c r="BT18" s="384"/>
      <c r="BU18" s="385"/>
      <c r="BV18" s="383">
        <v>14701831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4165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18973486</v>
      </c>
      <c r="BO19" s="384"/>
      <c r="BP19" s="384"/>
      <c r="BQ19" s="384"/>
      <c r="BR19" s="384"/>
      <c r="BS19" s="384"/>
      <c r="BT19" s="384"/>
      <c r="BU19" s="385"/>
      <c r="BV19" s="383">
        <v>18605419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31514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26519549</v>
      </c>
      <c r="BO23" s="384"/>
      <c r="BP23" s="384"/>
      <c r="BQ23" s="384"/>
      <c r="BR23" s="384"/>
      <c r="BS23" s="384"/>
      <c r="BT23" s="384"/>
      <c r="BU23" s="385"/>
      <c r="BV23" s="383">
        <v>25236051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9016</v>
      </c>
      <c r="R24" s="360"/>
      <c r="S24" s="360"/>
      <c r="T24" s="360"/>
      <c r="U24" s="360"/>
      <c r="V24" s="361"/>
      <c r="W24" s="425"/>
      <c r="X24" s="416"/>
      <c r="Y24" s="417"/>
      <c r="Z24" s="356" t="s">
        <v>154</v>
      </c>
      <c r="AA24" s="357"/>
      <c r="AB24" s="357"/>
      <c r="AC24" s="357"/>
      <c r="AD24" s="357"/>
      <c r="AE24" s="357"/>
      <c r="AF24" s="357"/>
      <c r="AG24" s="358"/>
      <c r="AH24" s="359">
        <v>491</v>
      </c>
      <c r="AI24" s="360"/>
      <c r="AJ24" s="360"/>
      <c r="AK24" s="360"/>
      <c r="AL24" s="361"/>
      <c r="AM24" s="359">
        <v>1452378</v>
      </c>
      <c r="AN24" s="360"/>
      <c r="AO24" s="360"/>
      <c r="AP24" s="360"/>
      <c r="AQ24" s="360"/>
      <c r="AR24" s="361"/>
      <c r="AS24" s="359">
        <v>2958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18669804</v>
      </c>
      <c r="BO24" s="384"/>
      <c r="BP24" s="384"/>
      <c r="BQ24" s="384"/>
      <c r="BR24" s="384"/>
      <c r="BS24" s="384"/>
      <c r="BT24" s="384"/>
      <c r="BU24" s="385"/>
      <c r="BV24" s="383">
        <v>17671940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7464</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1167391</v>
      </c>
      <c r="BO25" s="379"/>
      <c r="BP25" s="379"/>
      <c r="BQ25" s="379"/>
      <c r="BR25" s="379"/>
      <c r="BS25" s="379"/>
      <c r="BT25" s="379"/>
      <c r="BU25" s="380"/>
      <c r="BV25" s="378">
        <v>966560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6650</v>
      </c>
      <c r="R26" s="360"/>
      <c r="S26" s="360"/>
      <c r="T26" s="360"/>
      <c r="U26" s="360"/>
      <c r="V26" s="361"/>
      <c r="W26" s="425"/>
      <c r="X26" s="416"/>
      <c r="Y26" s="417"/>
      <c r="Z26" s="356" t="s">
        <v>160</v>
      </c>
      <c r="AA26" s="438"/>
      <c r="AB26" s="438"/>
      <c r="AC26" s="438"/>
      <c r="AD26" s="438"/>
      <c r="AE26" s="438"/>
      <c r="AF26" s="438"/>
      <c r="AG26" s="439"/>
      <c r="AH26" s="359">
        <v>42</v>
      </c>
      <c r="AI26" s="360"/>
      <c r="AJ26" s="360"/>
      <c r="AK26" s="360"/>
      <c r="AL26" s="361"/>
      <c r="AM26" s="359">
        <v>137718</v>
      </c>
      <c r="AN26" s="360"/>
      <c r="AO26" s="360"/>
      <c r="AP26" s="360"/>
      <c r="AQ26" s="360"/>
      <c r="AR26" s="361"/>
      <c r="AS26" s="359">
        <v>3279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5200</v>
      </c>
      <c r="R27" s="360"/>
      <c r="S27" s="360"/>
      <c r="T27" s="360"/>
      <c r="U27" s="360"/>
      <c r="V27" s="361"/>
      <c r="W27" s="425"/>
      <c r="X27" s="416"/>
      <c r="Y27" s="417"/>
      <c r="Z27" s="356" t="s">
        <v>163</v>
      </c>
      <c r="AA27" s="357"/>
      <c r="AB27" s="357"/>
      <c r="AC27" s="357"/>
      <c r="AD27" s="357"/>
      <c r="AE27" s="357"/>
      <c r="AF27" s="357"/>
      <c r="AG27" s="358"/>
      <c r="AH27" s="359">
        <v>3</v>
      </c>
      <c r="AI27" s="360"/>
      <c r="AJ27" s="360"/>
      <c r="AK27" s="360"/>
      <c r="AL27" s="361"/>
      <c r="AM27" s="359">
        <v>12012</v>
      </c>
      <c r="AN27" s="360"/>
      <c r="AO27" s="360"/>
      <c r="AP27" s="360"/>
      <c r="AQ27" s="360"/>
      <c r="AR27" s="361"/>
      <c r="AS27" s="359">
        <v>4004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4900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2862495</v>
      </c>
      <c r="BO28" s="379"/>
      <c r="BP28" s="379"/>
      <c r="BQ28" s="379"/>
      <c r="BR28" s="379"/>
      <c r="BS28" s="379"/>
      <c r="BT28" s="379"/>
      <c r="BU28" s="380"/>
      <c r="BV28" s="378">
        <v>2855339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22</v>
      </c>
      <c r="M29" s="360"/>
      <c r="N29" s="360"/>
      <c r="O29" s="360"/>
      <c r="P29" s="361"/>
      <c r="Q29" s="359">
        <v>4500</v>
      </c>
      <c r="R29" s="360"/>
      <c r="S29" s="360"/>
      <c r="T29" s="360"/>
      <c r="U29" s="360"/>
      <c r="V29" s="361"/>
      <c r="W29" s="426"/>
      <c r="X29" s="427"/>
      <c r="Y29" s="428"/>
      <c r="Z29" s="356" t="s">
        <v>170</v>
      </c>
      <c r="AA29" s="357"/>
      <c r="AB29" s="357"/>
      <c r="AC29" s="357"/>
      <c r="AD29" s="357"/>
      <c r="AE29" s="357"/>
      <c r="AF29" s="357"/>
      <c r="AG29" s="358"/>
      <c r="AH29" s="359">
        <v>494</v>
      </c>
      <c r="AI29" s="360"/>
      <c r="AJ29" s="360"/>
      <c r="AK29" s="360"/>
      <c r="AL29" s="361"/>
      <c r="AM29" s="359">
        <v>1464390</v>
      </c>
      <c r="AN29" s="360"/>
      <c r="AO29" s="360"/>
      <c r="AP29" s="360"/>
      <c r="AQ29" s="360"/>
      <c r="AR29" s="361"/>
      <c r="AS29" s="359">
        <v>2964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2100658</v>
      </c>
      <c r="BO30" s="387"/>
      <c r="BP30" s="387"/>
      <c r="BQ30" s="387"/>
      <c r="BR30" s="387"/>
      <c r="BS30" s="387"/>
      <c r="BT30" s="387"/>
      <c r="BU30" s="388"/>
      <c r="BV30" s="386">
        <v>2031535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長岡京市水道事業会計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長岡京市公共下水道事業特別会計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乙訓環境衛生組合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長岡京都市開発</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乙訓休日応急診療所特別会計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桂川・小畑川水防事務組合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長岡京市埋蔵文化財センター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乙訓福祉施設事務組合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長岡京水資源対策基金</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京都府自治会館管理組合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長岡京市体育協会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京都府住宅新築資金等貸付事業管理組合（一般会計）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乙訓勤労者福祉サービスセンター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京都府住宅新築資金等貸付事業管理組合（特別会計）</v>
      </c>
      <c r="BZ39" s="342"/>
      <c r="CA39" s="342"/>
      <c r="CB39" s="342"/>
      <c r="CC39" s="342"/>
      <c r="CD39" s="342"/>
      <c r="CE39" s="342"/>
      <c r="CF39" s="342"/>
      <c r="CG39" s="342"/>
      <c r="CH39" s="342"/>
      <c r="CI39" s="342"/>
      <c r="CJ39" s="342"/>
      <c r="CK39" s="342"/>
      <c r="CL39" s="342"/>
      <c r="CM39" s="342"/>
      <c r="CN39" s="165"/>
      <c r="CO39" s="343">
        <f t="shared" si="3"/>
        <v>24</v>
      </c>
      <c r="CP39" s="343"/>
      <c r="CQ39" s="342" t="str">
        <f>IF('各会計、関係団体の財政状況及び健全化判断比率'!BS12="","",'各会計、関係団体の財政状況及び健全化判断比率'!BS12)</f>
        <v>長岡京市緑の協会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乙訓消防組合</v>
      </c>
      <c r="BZ40" s="342"/>
      <c r="CA40" s="342"/>
      <c r="CB40" s="342"/>
      <c r="CC40" s="342"/>
      <c r="CD40" s="342"/>
      <c r="CE40" s="342"/>
      <c r="CF40" s="342"/>
      <c r="CG40" s="342"/>
      <c r="CH40" s="342"/>
      <c r="CI40" s="342"/>
      <c r="CJ40" s="342"/>
      <c r="CK40" s="342"/>
      <c r="CL40" s="342"/>
      <c r="CM40" s="342"/>
      <c r="CN40" s="165"/>
      <c r="CO40" s="343">
        <f t="shared" si="3"/>
        <v>25</v>
      </c>
      <c r="CP40" s="343"/>
      <c r="CQ40" s="342" t="str">
        <f>IF('各会計、関係団体の財政状況及び健全化判断比率'!BS13="","",'各会計、関係団体の財政状況及び健全化判断比率'!BS13)</f>
        <v>乙訓土地開発公社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京都府後期高齢者医療広域連合（一般会計）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京都府後期高齢者医療広域連合（後期高齢者医療特別会計）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京都府地方税機構</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16" zoomScale="90" zoomScaleNormal="90" zoomScaleSheetLayoutView="100" workbookViewId="0">
      <selection activeCell="M41" sqref="M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22524</v>
      </c>
      <c r="J41" s="83">
        <v>23243</v>
      </c>
      <c r="K41" s="83">
        <v>23652</v>
      </c>
      <c r="L41" s="83">
        <v>25236</v>
      </c>
      <c r="M41" s="84">
        <v>26520</v>
      </c>
    </row>
    <row r="42" spans="2:13" ht="27.75" customHeight="1">
      <c r="B42" s="1171"/>
      <c r="C42" s="1172"/>
      <c r="D42" s="85"/>
      <c r="E42" s="1175" t="s">
        <v>26</v>
      </c>
      <c r="F42" s="1175"/>
      <c r="G42" s="1175"/>
      <c r="H42" s="1176"/>
      <c r="I42" s="86">
        <v>383</v>
      </c>
      <c r="J42" s="87">
        <v>328</v>
      </c>
      <c r="K42" s="87">
        <v>328</v>
      </c>
      <c r="L42" s="87">
        <v>417</v>
      </c>
      <c r="M42" s="88">
        <v>423</v>
      </c>
    </row>
    <row r="43" spans="2:13" ht="27.75" customHeight="1">
      <c r="B43" s="1171"/>
      <c r="C43" s="1172"/>
      <c r="D43" s="85"/>
      <c r="E43" s="1175" t="s">
        <v>27</v>
      </c>
      <c r="F43" s="1175"/>
      <c r="G43" s="1175"/>
      <c r="H43" s="1176"/>
      <c r="I43" s="86">
        <v>11121</v>
      </c>
      <c r="J43" s="87">
        <v>10632</v>
      </c>
      <c r="K43" s="87">
        <v>10147</v>
      </c>
      <c r="L43" s="87">
        <v>9911</v>
      </c>
      <c r="M43" s="88">
        <v>9717</v>
      </c>
    </row>
    <row r="44" spans="2:13" ht="27.75" customHeight="1">
      <c r="B44" s="1171"/>
      <c r="C44" s="1172"/>
      <c r="D44" s="85"/>
      <c r="E44" s="1175" t="s">
        <v>28</v>
      </c>
      <c r="F44" s="1175"/>
      <c r="G44" s="1175"/>
      <c r="H44" s="1176"/>
      <c r="I44" s="86">
        <v>1592</v>
      </c>
      <c r="J44" s="87">
        <v>1779</v>
      </c>
      <c r="K44" s="87">
        <v>1726</v>
      </c>
      <c r="L44" s="87">
        <v>1493</v>
      </c>
      <c r="M44" s="88">
        <v>1453</v>
      </c>
    </row>
    <row r="45" spans="2:13" ht="27.75" customHeight="1">
      <c r="B45" s="1171"/>
      <c r="C45" s="1172"/>
      <c r="D45" s="85"/>
      <c r="E45" s="1175" t="s">
        <v>29</v>
      </c>
      <c r="F45" s="1175"/>
      <c r="G45" s="1175"/>
      <c r="H45" s="1176"/>
      <c r="I45" s="86">
        <v>6124</v>
      </c>
      <c r="J45" s="87">
        <v>5532</v>
      </c>
      <c r="K45" s="87">
        <v>4923</v>
      </c>
      <c r="L45" s="87">
        <v>4769</v>
      </c>
      <c r="M45" s="88">
        <v>4181</v>
      </c>
    </row>
    <row r="46" spans="2:13" ht="27.75" customHeight="1">
      <c r="B46" s="1171"/>
      <c r="C46" s="1172"/>
      <c r="D46" s="85"/>
      <c r="E46" s="1175" t="s">
        <v>30</v>
      </c>
      <c r="F46" s="1175"/>
      <c r="G46" s="1175"/>
      <c r="H46" s="1176"/>
      <c r="I46" s="86">
        <v>20</v>
      </c>
      <c r="J46" s="87">
        <v>10</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4087</v>
      </c>
      <c r="J49" s="87">
        <v>4063</v>
      </c>
      <c r="K49" s="87">
        <v>4172</v>
      </c>
      <c r="L49" s="87">
        <v>5012</v>
      </c>
      <c r="M49" s="88">
        <v>5090</v>
      </c>
    </row>
    <row r="50" spans="2:13" ht="27.75" customHeight="1">
      <c r="B50" s="1171"/>
      <c r="C50" s="1172"/>
      <c r="D50" s="85"/>
      <c r="E50" s="1175" t="s">
        <v>35</v>
      </c>
      <c r="F50" s="1175"/>
      <c r="G50" s="1175"/>
      <c r="H50" s="1176"/>
      <c r="I50" s="86">
        <v>8894</v>
      </c>
      <c r="J50" s="87">
        <v>8620</v>
      </c>
      <c r="K50" s="87">
        <v>8448</v>
      </c>
      <c r="L50" s="87">
        <v>8471</v>
      </c>
      <c r="M50" s="88">
        <v>8179</v>
      </c>
    </row>
    <row r="51" spans="2:13" ht="27.75" customHeight="1">
      <c r="B51" s="1173"/>
      <c r="C51" s="1174"/>
      <c r="D51" s="85"/>
      <c r="E51" s="1175" t="s">
        <v>36</v>
      </c>
      <c r="F51" s="1175"/>
      <c r="G51" s="1175"/>
      <c r="H51" s="1176"/>
      <c r="I51" s="86">
        <v>26430</v>
      </c>
      <c r="J51" s="87">
        <v>26825</v>
      </c>
      <c r="K51" s="87">
        <v>27173</v>
      </c>
      <c r="L51" s="87">
        <v>28129</v>
      </c>
      <c r="M51" s="88">
        <v>28605</v>
      </c>
    </row>
    <row r="52" spans="2:13" ht="27.75" customHeight="1" thickBot="1">
      <c r="B52" s="1177" t="s">
        <v>37</v>
      </c>
      <c r="C52" s="1178"/>
      <c r="D52" s="90"/>
      <c r="E52" s="1179" t="s">
        <v>38</v>
      </c>
      <c r="F52" s="1179"/>
      <c r="G52" s="1179"/>
      <c r="H52" s="1180"/>
      <c r="I52" s="91">
        <v>2353</v>
      </c>
      <c r="J52" s="92">
        <v>2015</v>
      </c>
      <c r="K52" s="92">
        <v>983</v>
      </c>
      <c r="L52" s="92">
        <v>213</v>
      </c>
      <c r="M52" s="93">
        <v>419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43411</v>
      </c>
      <c r="E3" s="116"/>
      <c r="F3" s="117">
        <v>40203</v>
      </c>
      <c r="G3" s="118"/>
      <c r="H3" s="119"/>
    </row>
    <row r="4" spans="1:8">
      <c r="A4" s="120"/>
      <c r="B4" s="121"/>
      <c r="C4" s="122"/>
      <c r="D4" s="123">
        <v>20033</v>
      </c>
      <c r="E4" s="124"/>
      <c r="F4" s="125">
        <v>23352</v>
      </c>
      <c r="G4" s="126"/>
      <c r="H4" s="127"/>
    </row>
    <row r="5" spans="1:8">
      <c r="A5" s="108" t="s">
        <v>511</v>
      </c>
      <c r="B5" s="113"/>
      <c r="C5" s="114"/>
      <c r="D5" s="115">
        <v>27265</v>
      </c>
      <c r="E5" s="116"/>
      <c r="F5" s="117">
        <v>33364</v>
      </c>
      <c r="G5" s="118"/>
      <c r="H5" s="119"/>
    </row>
    <row r="6" spans="1:8">
      <c r="A6" s="120"/>
      <c r="B6" s="121"/>
      <c r="C6" s="122"/>
      <c r="D6" s="123">
        <v>15114</v>
      </c>
      <c r="E6" s="124"/>
      <c r="F6" s="125">
        <v>21557</v>
      </c>
      <c r="G6" s="126"/>
      <c r="H6" s="127"/>
    </row>
    <row r="7" spans="1:8">
      <c r="A7" s="108" t="s">
        <v>512</v>
      </c>
      <c r="B7" s="113"/>
      <c r="C7" s="114"/>
      <c r="D7" s="115">
        <v>24756</v>
      </c>
      <c r="E7" s="116"/>
      <c r="F7" s="117">
        <v>36396</v>
      </c>
      <c r="G7" s="118"/>
      <c r="H7" s="119"/>
    </row>
    <row r="8" spans="1:8">
      <c r="A8" s="120"/>
      <c r="B8" s="121"/>
      <c r="C8" s="122"/>
      <c r="D8" s="123">
        <v>10936</v>
      </c>
      <c r="E8" s="124"/>
      <c r="F8" s="125">
        <v>19057</v>
      </c>
      <c r="G8" s="126"/>
      <c r="H8" s="127"/>
    </row>
    <row r="9" spans="1:8">
      <c r="A9" s="108" t="s">
        <v>513</v>
      </c>
      <c r="B9" s="113"/>
      <c r="C9" s="114"/>
      <c r="D9" s="115">
        <v>53012</v>
      </c>
      <c r="E9" s="116"/>
      <c r="F9" s="117">
        <v>62256</v>
      </c>
      <c r="G9" s="118"/>
      <c r="H9" s="119"/>
    </row>
    <row r="10" spans="1:8">
      <c r="A10" s="120"/>
      <c r="B10" s="121"/>
      <c r="C10" s="122"/>
      <c r="D10" s="123">
        <v>14682</v>
      </c>
      <c r="E10" s="124"/>
      <c r="F10" s="125">
        <v>24482</v>
      </c>
      <c r="G10" s="126"/>
      <c r="H10" s="127"/>
    </row>
    <row r="11" spans="1:8">
      <c r="A11" s="108" t="s">
        <v>514</v>
      </c>
      <c r="B11" s="113"/>
      <c r="C11" s="114"/>
      <c r="D11" s="115">
        <v>44326</v>
      </c>
      <c r="E11" s="116"/>
      <c r="F11" s="117">
        <v>53896</v>
      </c>
      <c r="G11" s="118"/>
      <c r="H11" s="119"/>
    </row>
    <row r="12" spans="1:8">
      <c r="A12" s="120"/>
      <c r="B12" s="121"/>
      <c r="C12" s="128"/>
      <c r="D12" s="123">
        <v>17381</v>
      </c>
      <c r="E12" s="124"/>
      <c r="F12" s="125">
        <v>20608</v>
      </c>
      <c r="G12" s="126"/>
      <c r="H12" s="127"/>
    </row>
    <row r="13" spans="1:8">
      <c r="A13" s="108"/>
      <c r="B13" s="113"/>
      <c r="C13" s="129"/>
      <c r="D13" s="130">
        <v>38554</v>
      </c>
      <c r="E13" s="131"/>
      <c r="F13" s="132">
        <v>45223</v>
      </c>
      <c r="G13" s="133"/>
      <c r="H13" s="119"/>
    </row>
    <row r="14" spans="1:8">
      <c r="A14" s="120"/>
      <c r="B14" s="121"/>
      <c r="C14" s="122"/>
      <c r="D14" s="123">
        <v>15629</v>
      </c>
      <c r="E14" s="124"/>
      <c r="F14" s="125">
        <v>21811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4.32</v>
      </c>
      <c r="C19" s="134">
        <f>ROUND(VALUE(SUBSTITUTE(実質収支比率等に係る経年分析!G$48,"▲","-")),2)</f>
        <v>3.78</v>
      </c>
      <c r="D19" s="134">
        <f>ROUND(VALUE(SUBSTITUTE(実質収支比率等に係る経年分析!H$48,"▲","-")),2)</f>
        <v>4.29</v>
      </c>
      <c r="E19" s="134">
        <f>ROUND(VALUE(SUBSTITUTE(実質収支比率等に係る経年分析!I$48,"▲","-")),2)</f>
        <v>4.4000000000000004</v>
      </c>
      <c r="F19" s="134">
        <f>ROUND(VALUE(SUBSTITUTE(実質収支比率等に係る経年分析!J$48,"▲","-")),2)</f>
        <v>4.99</v>
      </c>
    </row>
    <row r="20" spans="1:11">
      <c r="A20" s="134" t="s">
        <v>43</v>
      </c>
      <c r="B20" s="134">
        <f>ROUND(VALUE(SUBSTITUTE(実質収支比率等に係る経年分析!F$47,"▲","-")),2)</f>
        <v>15.27</v>
      </c>
      <c r="C20" s="134">
        <f>ROUND(VALUE(SUBSTITUTE(実質収支比率等に係る経年分析!G$47,"▲","-")),2)</f>
        <v>17.260000000000002</v>
      </c>
      <c r="D20" s="134">
        <f>ROUND(VALUE(SUBSTITUTE(実質収支比率等に係る経年分析!H$47,"▲","-")),2)</f>
        <v>16.96</v>
      </c>
      <c r="E20" s="134">
        <f>ROUND(VALUE(SUBSTITUTE(実質収支比率等に係る経年分析!I$47,"▲","-")),2)</f>
        <v>18.21</v>
      </c>
      <c r="F20" s="134">
        <f>ROUND(VALUE(SUBSTITUTE(実質収支比率等に係る経年分析!J$47,"▲","-")),2)</f>
        <v>18.05</v>
      </c>
    </row>
    <row r="21" spans="1:11">
      <c r="A21" s="134" t="s">
        <v>44</v>
      </c>
      <c r="B21" s="134">
        <f>IF(ISNUMBER(VALUE(SUBSTITUTE(実質収支比率等に係る経年分析!F$49,"▲","-"))),ROUND(VALUE(SUBSTITUTE(実質収支比率等に係る経年分析!F$49,"▲","-")),2),NA())</f>
        <v>4.7699999999999996</v>
      </c>
      <c r="C21" s="134">
        <f>IF(ISNUMBER(VALUE(SUBSTITUTE(実質収支比率等に係る経年分析!G$49,"▲","-"))),ROUND(VALUE(SUBSTITUTE(実質収支比率等に係る経年分析!G$49,"▲","-")),2),NA())</f>
        <v>1.61</v>
      </c>
      <c r="D21" s="134">
        <f>IF(ISNUMBER(VALUE(SUBSTITUTE(実質収支比率等に係る経年分析!H$49,"▲","-"))),ROUND(VALUE(SUBSTITUTE(実質収支比率等に係る経年分析!H$49,"▲","-")),2),NA())</f>
        <v>0.61</v>
      </c>
      <c r="E21" s="134">
        <f>IF(ISNUMBER(VALUE(SUBSTITUTE(実質収支比率等に係る経年分析!I$49,"▲","-"))),ROUND(VALUE(SUBSTITUTE(実質収支比率等に係る経年分析!I$49,"▲","-")),2),NA())</f>
        <v>1.84</v>
      </c>
      <c r="F21" s="134">
        <f>IF(ISNUMBER(VALUE(SUBSTITUTE(実質収支比率等に係る経年分析!J$49,"▲","-"))),ROUND(VALUE(SUBSTITUTE(実質収支比率等に係る経年分析!J$49,"▲","-")),2),NA())</f>
        <v>0.68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長岡京市公共下水道事業特別会計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乙訓休日応急診療所特別会計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2.4900000000000002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2.4900000000000002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4.8899999999999997</v>
      </c>
    </row>
    <row r="36" spans="1:16">
      <c r="A36" s="135" t="str">
        <f>IF(連結実質赤字比率に係る赤字・黒字の構成分析!C$34="",NA(),連結実質赤字比率に係る赤字・黒字の構成分析!C$34)</f>
        <v>長岡京市水道事業会計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9.9700000000000006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2739</v>
      </c>
      <c r="E42" s="136"/>
      <c r="F42" s="136"/>
      <c r="G42" s="136">
        <f>'実質公債費比率（分子）の構造'!L$52</f>
        <v>2851</v>
      </c>
      <c r="H42" s="136"/>
      <c r="I42" s="136"/>
      <c r="J42" s="136">
        <f>'実質公債費比率（分子）の構造'!M$52</f>
        <v>2844</v>
      </c>
      <c r="K42" s="136"/>
      <c r="L42" s="136"/>
      <c r="M42" s="136">
        <f>'実質公債費比率（分子）の構造'!N$52</f>
        <v>2863</v>
      </c>
      <c r="N42" s="136"/>
      <c r="O42" s="136"/>
      <c r="P42" s="136">
        <f>'実質公債費比率（分子）の構造'!O$52</f>
        <v>3008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353</v>
      </c>
      <c r="C44" s="136"/>
      <c r="D44" s="136"/>
      <c r="E44" s="136">
        <f>'実質公債費比率（分子）の構造'!L$50</f>
        <v>38</v>
      </c>
      <c r="F44" s="136"/>
      <c r="G44" s="136"/>
      <c r="H44" s="136">
        <f>'実質公債費比率（分子）の構造'!M$50</f>
        <v>42</v>
      </c>
      <c r="I44" s="136"/>
      <c r="J44" s="136"/>
      <c r="K44" s="136">
        <f>'実質公債費比率（分子）の構造'!N$50</f>
        <v>63</v>
      </c>
      <c r="L44" s="136"/>
      <c r="M44" s="136"/>
      <c r="N44" s="136">
        <f>'実質公債費比率（分子）の構造'!O$50</f>
        <v>64</v>
      </c>
      <c r="O44" s="136"/>
      <c r="P44" s="136"/>
    </row>
    <row r="45" spans="1:16">
      <c r="A45" s="136" t="s">
        <v>54</v>
      </c>
      <c r="B45" s="136">
        <f>'実質公債費比率（分子）の構造'!K$49</f>
        <v>284</v>
      </c>
      <c r="C45" s="136"/>
      <c r="D45" s="136"/>
      <c r="E45" s="136">
        <f>'実質公債費比率（分子）の構造'!L$49</f>
        <v>283</v>
      </c>
      <c r="F45" s="136"/>
      <c r="G45" s="136"/>
      <c r="H45" s="136">
        <f>'実質公債費比率（分子）の構造'!M$49</f>
        <v>268</v>
      </c>
      <c r="I45" s="136"/>
      <c r="J45" s="136"/>
      <c r="K45" s="136">
        <f>'実質公債費比率（分子）の構造'!N$49</f>
        <v>236</v>
      </c>
      <c r="L45" s="136"/>
      <c r="M45" s="136"/>
      <c r="N45" s="136">
        <f>'実質公債費比率（分子）の構造'!O$49</f>
        <v>265</v>
      </c>
      <c r="O45" s="136"/>
      <c r="P45" s="136"/>
    </row>
    <row r="46" spans="1:16">
      <c r="A46" s="136" t="s">
        <v>55</v>
      </c>
      <c r="B46" s="136">
        <f>'実質公債費比率（分子）の構造'!K$48</f>
        <v>665</v>
      </c>
      <c r="C46" s="136"/>
      <c r="D46" s="136"/>
      <c r="E46" s="136">
        <f>'実質公債費比率（分子）の構造'!L$48</f>
        <v>664</v>
      </c>
      <c r="F46" s="136"/>
      <c r="G46" s="136"/>
      <c r="H46" s="136">
        <f>'実質公債費比率（分子）の構造'!M$48</f>
        <v>651</v>
      </c>
      <c r="I46" s="136"/>
      <c r="J46" s="136"/>
      <c r="K46" s="136">
        <f>'実質公債費比率（分子）の構造'!N$48</f>
        <v>662</v>
      </c>
      <c r="L46" s="136"/>
      <c r="M46" s="136"/>
      <c r="N46" s="136">
        <f>'実質公債費比率（分子）の構造'!O$48</f>
        <v>673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2211</v>
      </c>
      <c r="C49" s="136"/>
      <c r="D49" s="136"/>
      <c r="E49" s="136">
        <f>'実質公債費比率（分子）の構造'!L$45</f>
        <v>2107</v>
      </c>
      <c r="F49" s="136"/>
      <c r="G49" s="136"/>
      <c r="H49" s="136">
        <f>'実質公債費比率（分子）の構造'!M$45</f>
        <v>2074</v>
      </c>
      <c r="I49" s="136"/>
      <c r="J49" s="136"/>
      <c r="K49" s="136">
        <f>'実質公債費比率（分子）の構造'!N$45</f>
        <v>2067</v>
      </c>
      <c r="L49" s="136"/>
      <c r="M49" s="136"/>
      <c r="N49" s="136">
        <f>'実質公債費比率（分子）の構造'!O$45</f>
        <v>2152</v>
      </c>
      <c r="O49" s="136"/>
      <c r="P49" s="136"/>
    </row>
    <row r="50" spans="1:16">
      <c r="A50" s="136" t="s">
        <v>59</v>
      </c>
      <c r="B50" s="136" t="e">
        <f>NA()</f>
        <v>#N/A</v>
      </c>
      <c r="C50" s="136">
        <f>IF(ISNUMBER('実質公債費比率（分子）の構造'!K$53),'実質公債費比率（分子）の構造'!K$53,NA())</f>
        <v>774</v>
      </c>
      <c r="D50" s="136" t="e">
        <f>NA()</f>
        <v>#N/A</v>
      </c>
      <c r="E50" s="136" t="e">
        <f>NA()</f>
        <v>#N/A</v>
      </c>
      <c r="F50" s="136">
        <f>IF(ISNUMBER('実質公債費比率（分子）の構造'!L$53),'実質公債費比率（分子）の構造'!L$53,NA())</f>
        <v>241</v>
      </c>
      <c r="G50" s="136" t="e">
        <f>NA()</f>
        <v>#N/A</v>
      </c>
      <c r="H50" s="136" t="e">
        <f>NA()</f>
        <v>#N/A</v>
      </c>
      <c r="I50" s="136">
        <f>IF(ISNUMBER('実質公債費比率（分子）の構造'!M$53),'実質公債費比率（分子）の構造'!M$53,NA())</f>
        <v>191</v>
      </c>
      <c r="J50" s="136" t="e">
        <f>NA()</f>
        <v>#N/A</v>
      </c>
      <c r="K50" s="136" t="e">
        <f>NA()</f>
        <v>#N/A</v>
      </c>
      <c r="L50" s="136">
        <f>IF(ISNUMBER('実質公債費比率（分子）の構造'!N$53),'実質公債費比率（分子）の構造'!N$53,NA())</f>
        <v>165</v>
      </c>
      <c r="M50" s="136" t="e">
        <f>NA()</f>
        <v>#N/A</v>
      </c>
      <c r="N50" s="136" t="e">
        <f>NA()</f>
        <v>#N/A</v>
      </c>
      <c r="O50" s="136">
        <f>IF(ISNUMBER('実質公債費比率（分子）の構造'!O$53),'実質公債費比率（分子）の構造'!O$53,NA())</f>
        <v>146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26430</v>
      </c>
      <c r="E56" s="135"/>
      <c r="F56" s="135"/>
      <c r="G56" s="135">
        <f>'将来負担比率（分子）の構造'!J$51</f>
        <v>26825</v>
      </c>
      <c r="H56" s="135"/>
      <c r="I56" s="135"/>
      <c r="J56" s="135">
        <f>'将来負担比率（分子）の構造'!K$51</f>
        <v>27173</v>
      </c>
      <c r="K56" s="135"/>
      <c r="L56" s="135"/>
      <c r="M56" s="135">
        <f>'将来負担比率（分子）の構造'!L$51</f>
        <v>28129</v>
      </c>
      <c r="N56" s="135"/>
      <c r="O56" s="135"/>
      <c r="P56" s="135">
        <f>'将来負担比率（分子）の構造'!M$51</f>
        <v>28605</v>
      </c>
    </row>
    <row r="57" spans="1:16">
      <c r="A57" s="135" t="s">
        <v>35</v>
      </c>
      <c r="B57" s="135"/>
      <c r="C57" s="135"/>
      <c r="D57" s="135">
        <f>'将来負担比率（分子）の構造'!I$50</f>
        <v>8894</v>
      </c>
      <c r="E57" s="135"/>
      <c r="F57" s="135"/>
      <c r="G57" s="135">
        <f>'将来負担比率（分子）の構造'!J$50</f>
        <v>8620</v>
      </c>
      <c r="H57" s="135"/>
      <c r="I57" s="135"/>
      <c r="J57" s="135">
        <f>'将来負担比率（分子）の構造'!K$50</f>
        <v>8448</v>
      </c>
      <c r="K57" s="135"/>
      <c r="L57" s="135"/>
      <c r="M57" s="135">
        <f>'将来負担比率（分子）の構造'!L$50</f>
        <v>8471</v>
      </c>
      <c r="N57" s="135"/>
      <c r="O57" s="135"/>
      <c r="P57" s="135">
        <f>'将来負担比率（分子）の構造'!M$50</f>
        <v>8179</v>
      </c>
    </row>
    <row r="58" spans="1:16">
      <c r="A58" s="135" t="s">
        <v>34</v>
      </c>
      <c r="B58" s="135"/>
      <c r="C58" s="135"/>
      <c r="D58" s="135">
        <f>'将来負担比率（分子）の構造'!I$49</f>
        <v>4087</v>
      </c>
      <c r="E58" s="135"/>
      <c r="F58" s="135"/>
      <c r="G58" s="135">
        <f>'将来負担比率（分子）の構造'!J$49</f>
        <v>4063</v>
      </c>
      <c r="H58" s="135"/>
      <c r="I58" s="135"/>
      <c r="J58" s="135">
        <f>'将来負担比率（分子）の構造'!K$49</f>
        <v>4172</v>
      </c>
      <c r="K58" s="135"/>
      <c r="L58" s="135"/>
      <c r="M58" s="135">
        <f>'将来負担比率（分子）の構造'!L$49</f>
        <v>5012</v>
      </c>
      <c r="N58" s="135"/>
      <c r="O58" s="135"/>
      <c r="P58" s="135">
        <f>'将来負担比率（分子）の構造'!M$49</f>
        <v>5090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v>
      </c>
      <c r="C61" s="135"/>
      <c r="D61" s="135"/>
      <c r="E61" s="135">
        <f>'将来負担比率（分子）の構造'!J$46</f>
        <v>10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6124</v>
      </c>
      <c r="C62" s="135"/>
      <c r="D62" s="135"/>
      <c r="E62" s="135">
        <f>'将来負担比率（分子）の構造'!J$45</f>
        <v>5532</v>
      </c>
      <c r="F62" s="135"/>
      <c r="G62" s="135"/>
      <c r="H62" s="135">
        <f>'将来負担比率（分子）の構造'!K$45</f>
        <v>4923</v>
      </c>
      <c r="I62" s="135"/>
      <c r="J62" s="135"/>
      <c r="K62" s="135">
        <f>'将来負担比率（分子）の構造'!L$45</f>
        <v>4769</v>
      </c>
      <c r="L62" s="135"/>
      <c r="M62" s="135"/>
      <c r="N62" s="135">
        <f>'将来負担比率（分子）の構造'!M$45</f>
        <v>4181</v>
      </c>
      <c r="O62" s="135"/>
      <c r="P62" s="135"/>
    </row>
    <row r="63" spans="1:16">
      <c r="A63" s="135" t="s">
        <v>28</v>
      </c>
      <c r="B63" s="135">
        <f>'将来負担比率（分子）の構造'!I$44</f>
        <v>1592</v>
      </c>
      <c r="C63" s="135"/>
      <c r="D63" s="135"/>
      <c r="E63" s="135">
        <f>'将来負担比率（分子）の構造'!J$44</f>
        <v>1779</v>
      </c>
      <c r="F63" s="135"/>
      <c r="G63" s="135"/>
      <c r="H63" s="135">
        <f>'将来負担比率（分子）の構造'!K$44</f>
        <v>1726</v>
      </c>
      <c r="I63" s="135"/>
      <c r="J63" s="135"/>
      <c r="K63" s="135">
        <f>'将来負担比率（分子）の構造'!L$44</f>
        <v>1493</v>
      </c>
      <c r="L63" s="135"/>
      <c r="M63" s="135"/>
      <c r="N63" s="135">
        <f>'将来負担比率（分子）の構造'!M$44</f>
        <v>1453</v>
      </c>
      <c r="O63" s="135"/>
      <c r="P63" s="135"/>
    </row>
    <row r="64" spans="1:16">
      <c r="A64" s="135" t="s">
        <v>27</v>
      </c>
      <c r="B64" s="135">
        <f>'将来負担比率（分子）の構造'!I$43</f>
        <v>11121</v>
      </c>
      <c r="C64" s="135"/>
      <c r="D64" s="135"/>
      <c r="E64" s="135">
        <f>'将来負担比率（分子）の構造'!J$43</f>
        <v>10632</v>
      </c>
      <c r="F64" s="135"/>
      <c r="G64" s="135"/>
      <c r="H64" s="135">
        <f>'将来負担比率（分子）の構造'!K$43</f>
        <v>10147</v>
      </c>
      <c r="I64" s="135"/>
      <c r="J64" s="135"/>
      <c r="K64" s="135">
        <f>'将来負担比率（分子）の構造'!L$43</f>
        <v>9911</v>
      </c>
      <c r="L64" s="135"/>
      <c r="M64" s="135"/>
      <c r="N64" s="135">
        <f>'将来負担比率（分子）の構造'!M$43</f>
        <v>9717</v>
      </c>
      <c r="O64" s="135"/>
      <c r="P64" s="135"/>
    </row>
    <row r="65" spans="1:16">
      <c r="A65" s="135" t="s">
        <v>26</v>
      </c>
      <c r="B65" s="135">
        <f>'将来負担比率（分子）の構造'!I$42</f>
        <v>383</v>
      </c>
      <c r="C65" s="135"/>
      <c r="D65" s="135"/>
      <c r="E65" s="135">
        <f>'将来負担比率（分子）の構造'!J$42</f>
        <v>328</v>
      </c>
      <c r="F65" s="135"/>
      <c r="G65" s="135"/>
      <c r="H65" s="135">
        <f>'将来負担比率（分子）の構造'!K$42</f>
        <v>328</v>
      </c>
      <c r="I65" s="135"/>
      <c r="J65" s="135"/>
      <c r="K65" s="135">
        <f>'将来負担比率（分子）の構造'!L$42</f>
        <v>417</v>
      </c>
      <c r="L65" s="135"/>
      <c r="M65" s="135"/>
      <c r="N65" s="135">
        <f>'将来負担比率（分子）の構造'!M$42</f>
        <v>423</v>
      </c>
      <c r="O65" s="135"/>
      <c r="P65" s="135"/>
    </row>
    <row r="66" spans="1:16">
      <c r="A66" s="135" t="s">
        <v>25</v>
      </c>
      <c r="B66" s="135">
        <f>'将来負担比率（分子）の構造'!I$41</f>
        <v>22524</v>
      </c>
      <c r="C66" s="135"/>
      <c r="D66" s="135"/>
      <c r="E66" s="135">
        <f>'将来負担比率（分子）の構造'!J$41</f>
        <v>23243</v>
      </c>
      <c r="F66" s="135"/>
      <c r="G66" s="135"/>
      <c r="H66" s="135">
        <f>'将来負担比率（分子）の構造'!K$41</f>
        <v>23652</v>
      </c>
      <c r="I66" s="135"/>
      <c r="J66" s="135"/>
      <c r="K66" s="135">
        <f>'将来負担比率（分子）の構造'!L$41</f>
        <v>25236</v>
      </c>
      <c r="L66" s="135"/>
      <c r="M66" s="135"/>
      <c r="N66" s="135">
        <f>'将来負担比率（分子）の構造'!M$41</f>
        <v>26520</v>
      </c>
      <c r="O66" s="135"/>
      <c r="P66" s="135"/>
    </row>
    <row r="67" spans="1:16">
      <c r="A67" s="135" t="s">
        <v>63</v>
      </c>
      <c r="B67" s="135" t="e">
        <f>NA()</f>
        <v>#N/A</v>
      </c>
      <c r="C67" s="135">
        <f>IF(ISNUMBER('将来負担比率（分子）の構造'!I$52), IF('将来負担比率（分子）の構造'!I$52 &lt; 0, 0, '将来負担比率（分子）の構造'!I$52), NA())</f>
        <v>2353</v>
      </c>
      <c r="D67" s="135" t="e">
        <f>NA()</f>
        <v>#N/A</v>
      </c>
      <c r="E67" s="135" t="e">
        <f>NA()</f>
        <v>#N/A</v>
      </c>
      <c r="F67" s="135">
        <f>IF(ISNUMBER('将来負担比率（分子）の構造'!J$52), IF('将来負担比率（分子）の構造'!J$52 &lt; 0, 0, '将来負担比率（分子）の構造'!J$52), NA())</f>
        <v>2015</v>
      </c>
      <c r="G67" s="135" t="e">
        <f>NA()</f>
        <v>#N/A</v>
      </c>
      <c r="H67" s="135" t="e">
        <f>NA()</f>
        <v>#N/A</v>
      </c>
      <c r="I67" s="135">
        <f>IF(ISNUMBER('将来負担比率（分子）の構造'!K$52), IF('将来負担比率（分子）の構造'!K$52 &lt; 0, 0, '将来負担比率（分子）の構造'!K$52), NA())</f>
        <v>983</v>
      </c>
      <c r="J67" s="135" t="e">
        <f>NA()</f>
        <v>#N/A</v>
      </c>
      <c r="K67" s="135" t="e">
        <f>NA()</f>
        <v>#N/A</v>
      </c>
      <c r="L67" s="135">
        <f>IF(ISNUMBER('将来負担比率（分子）の構造'!L$52), IF('将来負担比率（分子）の構造'!L$52 &lt; 0, 0, '将来負担比率（分子）の構造'!L$52), NA())</f>
        <v>213</v>
      </c>
      <c r="M67" s="135" t="e">
        <f>NA()</f>
        <v>#N/A</v>
      </c>
      <c r="N67" s="135" t="e">
        <f>NA()</f>
        <v>#N/A</v>
      </c>
      <c r="O67" s="135">
        <f>IF(ISNUMBER('将来負担比率（分子）の構造'!M$52), IF('将来負担比率（分子）の構造'!M$52 &lt; 0, 0, '将来負担比率（分子）の構造'!M$52), NA())</f>
        <v>419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0" workbookViewId="0">
      <selection activeCell="DQ13" sqref="DQ13:EC1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12419166</v>
      </c>
      <c r="S5" s="639"/>
      <c r="T5" s="639"/>
      <c r="U5" s="639"/>
      <c r="V5" s="639"/>
      <c r="W5" s="639"/>
      <c r="X5" s="639"/>
      <c r="Y5" s="686"/>
      <c r="Z5" s="699">
        <v>43.8</v>
      </c>
      <c r="AA5" s="699"/>
      <c r="AB5" s="699"/>
      <c r="AC5" s="699"/>
      <c r="AD5" s="700">
        <v>11464025</v>
      </c>
      <c r="AE5" s="700"/>
      <c r="AF5" s="700"/>
      <c r="AG5" s="700"/>
      <c r="AH5" s="700"/>
      <c r="AI5" s="700"/>
      <c r="AJ5" s="700"/>
      <c r="AK5" s="700"/>
      <c r="AL5" s="687">
        <v>76.7</v>
      </c>
      <c r="AM5" s="656"/>
      <c r="AN5" s="656"/>
      <c r="AO5" s="688"/>
      <c r="AP5" s="675" t="s">
        <v>208</v>
      </c>
      <c r="AQ5" s="676"/>
      <c r="AR5" s="676"/>
      <c r="AS5" s="676"/>
      <c r="AT5" s="676"/>
      <c r="AU5" s="676"/>
      <c r="AV5" s="676"/>
      <c r="AW5" s="676"/>
      <c r="AX5" s="676"/>
      <c r="AY5" s="676"/>
      <c r="AZ5" s="676"/>
      <c r="BA5" s="676"/>
      <c r="BB5" s="676"/>
      <c r="BC5" s="676"/>
      <c r="BD5" s="676"/>
      <c r="BE5" s="676"/>
      <c r="BF5" s="677"/>
      <c r="BG5" s="588">
        <v>11464025</v>
      </c>
      <c r="BH5" s="589"/>
      <c r="BI5" s="589"/>
      <c r="BJ5" s="589"/>
      <c r="BK5" s="589"/>
      <c r="BL5" s="589"/>
      <c r="BM5" s="589"/>
      <c r="BN5" s="590"/>
      <c r="BO5" s="641">
        <v>92.3</v>
      </c>
      <c r="BP5" s="641"/>
      <c r="BQ5" s="641"/>
      <c r="BR5" s="641"/>
      <c r="BS5" s="642">
        <v>172185</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125282</v>
      </c>
      <c r="S6" s="589"/>
      <c r="T6" s="589"/>
      <c r="U6" s="589"/>
      <c r="V6" s="589"/>
      <c r="W6" s="589"/>
      <c r="X6" s="589"/>
      <c r="Y6" s="590"/>
      <c r="Z6" s="641">
        <v>0.4</v>
      </c>
      <c r="AA6" s="641"/>
      <c r="AB6" s="641"/>
      <c r="AC6" s="641"/>
      <c r="AD6" s="642">
        <v>125282</v>
      </c>
      <c r="AE6" s="642"/>
      <c r="AF6" s="642"/>
      <c r="AG6" s="642"/>
      <c r="AH6" s="642"/>
      <c r="AI6" s="642"/>
      <c r="AJ6" s="642"/>
      <c r="AK6" s="642"/>
      <c r="AL6" s="611">
        <v>0.8</v>
      </c>
      <c r="AM6" s="643"/>
      <c r="AN6" s="643"/>
      <c r="AO6" s="644"/>
      <c r="AP6" s="585" t="s">
        <v>213</v>
      </c>
      <c r="AQ6" s="586"/>
      <c r="AR6" s="586"/>
      <c r="AS6" s="586"/>
      <c r="AT6" s="586"/>
      <c r="AU6" s="586"/>
      <c r="AV6" s="586"/>
      <c r="AW6" s="586"/>
      <c r="AX6" s="586"/>
      <c r="AY6" s="586"/>
      <c r="AZ6" s="586"/>
      <c r="BA6" s="586"/>
      <c r="BB6" s="586"/>
      <c r="BC6" s="586"/>
      <c r="BD6" s="586"/>
      <c r="BE6" s="586"/>
      <c r="BF6" s="587"/>
      <c r="BG6" s="588">
        <v>11464025</v>
      </c>
      <c r="BH6" s="589"/>
      <c r="BI6" s="589"/>
      <c r="BJ6" s="589"/>
      <c r="BK6" s="589"/>
      <c r="BL6" s="589"/>
      <c r="BM6" s="589"/>
      <c r="BN6" s="590"/>
      <c r="BO6" s="641">
        <v>92.3</v>
      </c>
      <c r="BP6" s="641"/>
      <c r="BQ6" s="641"/>
      <c r="BR6" s="641"/>
      <c r="BS6" s="642">
        <v>172185</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314314</v>
      </c>
      <c r="CS6" s="589"/>
      <c r="CT6" s="589"/>
      <c r="CU6" s="589"/>
      <c r="CV6" s="589"/>
      <c r="CW6" s="589"/>
      <c r="CX6" s="589"/>
      <c r="CY6" s="590"/>
      <c r="CZ6" s="641">
        <v>1.1000000000000001</v>
      </c>
      <c r="DA6" s="641"/>
      <c r="DB6" s="641"/>
      <c r="DC6" s="641"/>
      <c r="DD6" s="594">
        <v>955</v>
      </c>
      <c r="DE6" s="589"/>
      <c r="DF6" s="589"/>
      <c r="DG6" s="589"/>
      <c r="DH6" s="589"/>
      <c r="DI6" s="589"/>
      <c r="DJ6" s="589"/>
      <c r="DK6" s="589"/>
      <c r="DL6" s="589"/>
      <c r="DM6" s="589"/>
      <c r="DN6" s="589"/>
      <c r="DO6" s="589"/>
      <c r="DP6" s="590"/>
      <c r="DQ6" s="594">
        <v>314314</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37136</v>
      </c>
      <c r="S7" s="589"/>
      <c r="T7" s="589"/>
      <c r="U7" s="589"/>
      <c r="V7" s="589"/>
      <c r="W7" s="589"/>
      <c r="X7" s="589"/>
      <c r="Y7" s="590"/>
      <c r="Z7" s="641">
        <v>0.1</v>
      </c>
      <c r="AA7" s="641"/>
      <c r="AB7" s="641"/>
      <c r="AC7" s="641"/>
      <c r="AD7" s="642">
        <v>37136</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6067601</v>
      </c>
      <c r="BH7" s="589"/>
      <c r="BI7" s="589"/>
      <c r="BJ7" s="589"/>
      <c r="BK7" s="589"/>
      <c r="BL7" s="589"/>
      <c r="BM7" s="589"/>
      <c r="BN7" s="590"/>
      <c r="BO7" s="641">
        <v>48.9</v>
      </c>
      <c r="BP7" s="641"/>
      <c r="BQ7" s="641"/>
      <c r="BR7" s="641"/>
      <c r="BS7" s="642">
        <v>172185</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3385614</v>
      </c>
      <c r="CS7" s="589"/>
      <c r="CT7" s="589"/>
      <c r="CU7" s="589"/>
      <c r="CV7" s="589"/>
      <c r="CW7" s="589"/>
      <c r="CX7" s="589"/>
      <c r="CY7" s="590"/>
      <c r="CZ7" s="641">
        <v>12.3</v>
      </c>
      <c r="DA7" s="641"/>
      <c r="DB7" s="641"/>
      <c r="DC7" s="641"/>
      <c r="DD7" s="594">
        <v>78877</v>
      </c>
      <c r="DE7" s="589"/>
      <c r="DF7" s="589"/>
      <c r="DG7" s="589"/>
      <c r="DH7" s="589"/>
      <c r="DI7" s="589"/>
      <c r="DJ7" s="589"/>
      <c r="DK7" s="589"/>
      <c r="DL7" s="589"/>
      <c r="DM7" s="589"/>
      <c r="DN7" s="589"/>
      <c r="DO7" s="589"/>
      <c r="DP7" s="590"/>
      <c r="DQ7" s="594">
        <v>2902347</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124993</v>
      </c>
      <c r="S8" s="589"/>
      <c r="T8" s="589"/>
      <c r="U8" s="589"/>
      <c r="V8" s="589"/>
      <c r="W8" s="589"/>
      <c r="X8" s="589"/>
      <c r="Y8" s="590"/>
      <c r="Z8" s="641">
        <v>0.4</v>
      </c>
      <c r="AA8" s="641"/>
      <c r="AB8" s="641"/>
      <c r="AC8" s="641"/>
      <c r="AD8" s="642">
        <v>124993</v>
      </c>
      <c r="AE8" s="642"/>
      <c r="AF8" s="642"/>
      <c r="AG8" s="642"/>
      <c r="AH8" s="642"/>
      <c r="AI8" s="642"/>
      <c r="AJ8" s="642"/>
      <c r="AK8" s="642"/>
      <c r="AL8" s="611">
        <v>0.8</v>
      </c>
      <c r="AM8" s="643"/>
      <c r="AN8" s="643"/>
      <c r="AO8" s="644"/>
      <c r="AP8" s="585" t="s">
        <v>219</v>
      </c>
      <c r="AQ8" s="586"/>
      <c r="AR8" s="586"/>
      <c r="AS8" s="586"/>
      <c r="AT8" s="586"/>
      <c r="AU8" s="586"/>
      <c r="AV8" s="586"/>
      <c r="AW8" s="586"/>
      <c r="AX8" s="586"/>
      <c r="AY8" s="586"/>
      <c r="AZ8" s="586"/>
      <c r="BA8" s="586"/>
      <c r="BB8" s="586"/>
      <c r="BC8" s="586"/>
      <c r="BD8" s="586"/>
      <c r="BE8" s="586"/>
      <c r="BF8" s="587"/>
      <c r="BG8" s="588">
        <v>132350</v>
      </c>
      <c r="BH8" s="589"/>
      <c r="BI8" s="589"/>
      <c r="BJ8" s="589"/>
      <c r="BK8" s="589"/>
      <c r="BL8" s="589"/>
      <c r="BM8" s="589"/>
      <c r="BN8" s="590"/>
      <c r="BO8" s="641">
        <v>1.1000000000000001</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10867029</v>
      </c>
      <c r="CS8" s="589"/>
      <c r="CT8" s="589"/>
      <c r="CU8" s="589"/>
      <c r="CV8" s="589"/>
      <c r="CW8" s="589"/>
      <c r="CX8" s="589"/>
      <c r="CY8" s="590"/>
      <c r="CZ8" s="641">
        <v>39.6</v>
      </c>
      <c r="DA8" s="641"/>
      <c r="DB8" s="641"/>
      <c r="DC8" s="641"/>
      <c r="DD8" s="594">
        <v>430298</v>
      </c>
      <c r="DE8" s="589"/>
      <c r="DF8" s="589"/>
      <c r="DG8" s="589"/>
      <c r="DH8" s="589"/>
      <c r="DI8" s="589"/>
      <c r="DJ8" s="589"/>
      <c r="DK8" s="589"/>
      <c r="DL8" s="589"/>
      <c r="DM8" s="589"/>
      <c r="DN8" s="589"/>
      <c r="DO8" s="589"/>
      <c r="DP8" s="590"/>
      <c r="DQ8" s="594">
        <v>5083026</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70628</v>
      </c>
      <c r="S9" s="589"/>
      <c r="T9" s="589"/>
      <c r="U9" s="589"/>
      <c r="V9" s="589"/>
      <c r="W9" s="589"/>
      <c r="X9" s="589"/>
      <c r="Y9" s="590"/>
      <c r="Z9" s="641">
        <v>0.2</v>
      </c>
      <c r="AA9" s="641"/>
      <c r="AB9" s="641"/>
      <c r="AC9" s="641"/>
      <c r="AD9" s="642">
        <v>70628</v>
      </c>
      <c r="AE9" s="642"/>
      <c r="AF9" s="642"/>
      <c r="AG9" s="642"/>
      <c r="AH9" s="642"/>
      <c r="AI9" s="642"/>
      <c r="AJ9" s="642"/>
      <c r="AK9" s="642"/>
      <c r="AL9" s="611">
        <v>0.5</v>
      </c>
      <c r="AM9" s="643"/>
      <c r="AN9" s="643"/>
      <c r="AO9" s="644"/>
      <c r="AP9" s="585" t="s">
        <v>223</v>
      </c>
      <c r="AQ9" s="586"/>
      <c r="AR9" s="586"/>
      <c r="AS9" s="586"/>
      <c r="AT9" s="586"/>
      <c r="AU9" s="586"/>
      <c r="AV9" s="586"/>
      <c r="AW9" s="586"/>
      <c r="AX9" s="586"/>
      <c r="AY9" s="586"/>
      <c r="AZ9" s="586"/>
      <c r="BA9" s="586"/>
      <c r="BB9" s="586"/>
      <c r="BC9" s="586"/>
      <c r="BD9" s="586"/>
      <c r="BE9" s="586"/>
      <c r="BF9" s="587"/>
      <c r="BG9" s="588">
        <v>4843855</v>
      </c>
      <c r="BH9" s="589"/>
      <c r="BI9" s="589"/>
      <c r="BJ9" s="589"/>
      <c r="BK9" s="589"/>
      <c r="BL9" s="589"/>
      <c r="BM9" s="589"/>
      <c r="BN9" s="590"/>
      <c r="BO9" s="641">
        <v>39</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2341805</v>
      </c>
      <c r="CS9" s="589"/>
      <c r="CT9" s="589"/>
      <c r="CU9" s="589"/>
      <c r="CV9" s="589"/>
      <c r="CW9" s="589"/>
      <c r="CX9" s="589"/>
      <c r="CY9" s="590"/>
      <c r="CZ9" s="641">
        <v>8.5</v>
      </c>
      <c r="DA9" s="641"/>
      <c r="DB9" s="641"/>
      <c r="DC9" s="641"/>
      <c r="DD9" s="594">
        <v>94063</v>
      </c>
      <c r="DE9" s="589"/>
      <c r="DF9" s="589"/>
      <c r="DG9" s="589"/>
      <c r="DH9" s="589"/>
      <c r="DI9" s="589"/>
      <c r="DJ9" s="589"/>
      <c r="DK9" s="589"/>
      <c r="DL9" s="589"/>
      <c r="DM9" s="589"/>
      <c r="DN9" s="589"/>
      <c r="DO9" s="589"/>
      <c r="DP9" s="590"/>
      <c r="DQ9" s="594">
        <v>2165003</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934262</v>
      </c>
      <c r="S10" s="589"/>
      <c r="T10" s="589"/>
      <c r="U10" s="589"/>
      <c r="V10" s="589"/>
      <c r="W10" s="589"/>
      <c r="X10" s="589"/>
      <c r="Y10" s="590"/>
      <c r="Z10" s="641">
        <v>3.3</v>
      </c>
      <c r="AA10" s="641"/>
      <c r="AB10" s="641"/>
      <c r="AC10" s="641"/>
      <c r="AD10" s="642">
        <v>934262</v>
      </c>
      <c r="AE10" s="642"/>
      <c r="AF10" s="642"/>
      <c r="AG10" s="642"/>
      <c r="AH10" s="642"/>
      <c r="AI10" s="642"/>
      <c r="AJ10" s="642"/>
      <c r="AK10" s="642"/>
      <c r="AL10" s="611">
        <v>6.3</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224946</v>
      </c>
      <c r="BH10" s="589"/>
      <c r="BI10" s="589"/>
      <c r="BJ10" s="589"/>
      <c r="BK10" s="589"/>
      <c r="BL10" s="589"/>
      <c r="BM10" s="589"/>
      <c r="BN10" s="590"/>
      <c r="BO10" s="641">
        <v>1.8</v>
      </c>
      <c r="BP10" s="641"/>
      <c r="BQ10" s="641"/>
      <c r="BR10" s="641"/>
      <c r="BS10" s="594">
        <v>37305</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198087</v>
      </c>
      <c r="CS10" s="589"/>
      <c r="CT10" s="589"/>
      <c r="CU10" s="589"/>
      <c r="CV10" s="589"/>
      <c r="CW10" s="589"/>
      <c r="CX10" s="589"/>
      <c r="CY10" s="590"/>
      <c r="CZ10" s="641">
        <v>0.7</v>
      </c>
      <c r="DA10" s="641"/>
      <c r="DB10" s="641"/>
      <c r="DC10" s="641"/>
      <c r="DD10" s="594" t="s">
        <v>220</v>
      </c>
      <c r="DE10" s="589"/>
      <c r="DF10" s="589"/>
      <c r="DG10" s="589"/>
      <c r="DH10" s="589"/>
      <c r="DI10" s="589"/>
      <c r="DJ10" s="589"/>
      <c r="DK10" s="589"/>
      <c r="DL10" s="589"/>
      <c r="DM10" s="589"/>
      <c r="DN10" s="589"/>
      <c r="DO10" s="589"/>
      <c r="DP10" s="590"/>
      <c r="DQ10" s="594">
        <v>73963</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866450</v>
      </c>
      <c r="BH11" s="589"/>
      <c r="BI11" s="589"/>
      <c r="BJ11" s="589"/>
      <c r="BK11" s="589"/>
      <c r="BL11" s="589"/>
      <c r="BM11" s="589"/>
      <c r="BN11" s="590"/>
      <c r="BO11" s="641">
        <v>7</v>
      </c>
      <c r="BP11" s="641"/>
      <c r="BQ11" s="641"/>
      <c r="BR11" s="641"/>
      <c r="BS11" s="594">
        <v>134880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148889</v>
      </c>
      <c r="CS11" s="589"/>
      <c r="CT11" s="589"/>
      <c r="CU11" s="589"/>
      <c r="CV11" s="589"/>
      <c r="CW11" s="589"/>
      <c r="CX11" s="589"/>
      <c r="CY11" s="590"/>
      <c r="CZ11" s="641">
        <v>0.5</v>
      </c>
      <c r="DA11" s="641"/>
      <c r="DB11" s="641"/>
      <c r="DC11" s="641"/>
      <c r="DD11" s="594">
        <v>37493</v>
      </c>
      <c r="DE11" s="589"/>
      <c r="DF11" s="589"/>
      <c r="DG11" s="589"/>
      <c r="DH11" s="589"/>
      <c r="DI11" s="589"/>
      <c r="DJ11" s="589"/>
      <c r="DK11" s="589"/>
      <c r="DL11" s="589"/>
      <c r="DM11" s="589"/>
      <c r="DN11" s="589"/>
      <c r="DO11" s="589"/>
      <c r="DP11" s="590"/>
      <c r="DQ11" s="594">
        <v>125077</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4938575</v>
      </c>
      <c r="BH12" s="589"/>
      <c r="BI12" s="589"/>
      <c r="BJ12" s="589"/>
      <c r="BK12" s="589"/>
      <c r="BL12" s="589"/>
      <c r="BM12" s="589"/>
      <c r="BN12" s="590"/>
      <c r="BO12" s="641">
        <v>39.799999999999997</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183156</v>
      </c>
      <c r="CS12" s="589"/>
      <c r="CT12" s="589"/>
      <c r="CU12" s="589"/>
      <c r="CV12" s="589"/>
      <c r="CW12" s="589"/>
      <c r="CX12" s="589"/>
      <c r="CY12" s="590"/>
      <c r="CZ12" s="641">
        <v>0.7</v>
      </c>
      <c r="DA12" s="641"/>
      <c r="DB12" s="641"/>
      <c r="DC12" s="641"/>
      <c r="DD12" s="594" t="s">
        <v>220</v>
      </c>
      <c r="DE12" s="589"/>
      <c r="DF12" s="589"/>
      <c r="DG12" s="589"/>
      <c r="DH12" s="589"/>
      <c r="DI12" s="589"/>
      <c r="DJ12" s="589"/>
      <c r="DK12" s="589"/>
      <c r="DL12" s="589"/>
      <c r="DM12" s="589"/>
      <c r="DN12" s="589"/>
      <c r="DO12" s="589"/>
      <c r="DP12" s="590"/>
      <c r="DQ12" s="594">
        <v>123598</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26400</v>
      </c>
      <c r="S13" s="589"/>
      <c r="T13" s="589"/>
      <c r="U13" s="589"/>
      <c r="V13" s="589"/>
      <c r="W13" s="589"/>
      <c r="X13" s="589"/>
      <c r="Y13" s="590"/>
      <c r="Z13" s="641">
        <v>0.1</v>
      </c>
      <c r="AA13" s="641"/>
      <c r="AB13" s="641"/>
      <c r="AC13" s="641"/>
      <c r="AD13" s="642">
        <v>26400</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4936949</v>
      </c>
      <c r="BH13" s="589"/>
      <c r="BI13" s="589"/>
      <c r="BJ13" s="589"/>
      <c r="BK13" s="589"/>
      <c r="BL13" s="589"/>
      <c r="BM13" s="589"/>
      <c r="BN13" s="590"/>
      <c r="BO13" s="641">
        <v>39.799999999999997</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2607112</v>
      </c>
      <c r="CS13" s="589"/>
      <c r="CT13" s="589"/>
      <c r="CU13" s="589"/>
      <c r="CV13" s="589"/>
      <c r="CW13" s="589"/>
      <c r="CX13" s="589"/>
      <c r="CY13" s="590"/>
      <c r="CZ13" s="641">
        <v>9.5</v>
      </c>
      <c r="DA13" s="641"/>
      <c r="DB13" s="641"/>
      <c r="DC13" s="641"/>
      <c r="DD13" s="594">
        <v>959691</v>
      </c>
      <c r="DE13" s="589"/>
      <c r="DF13" s="589"/>
      <c r="DG13" s="589"/>
      <c r="DH13" s="589"/>
      <c r="DI13" s="589"/>
      <c r="DJ13" s="589"/>
      <c r="DK13" s="589"/>
      <c r="DL13" s="589"/>
      <c r="DM13" s="589"/>
      <c r="DN13" s="589"/>
      <c r="DO13" s="589"/>
      <c r="DP13" s="590"/>
      <c r="DQ13" s="594">
        <v>1669572</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70603</v>
      </c>
      <c r="BH14" s="589"/>
      <c r="BI14" s="589"/>
      <c r="BJ14" s="589"/>
      <c r="BK14" s="589"/>
      <c r="BL14" s="589"/>
      <c r="BM14" s="589"/>
      <c r="BN14" s="590"/>
      <c r="BO14" s="641">
        <v>0.6</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976912</v>
      </c>
      <c r="CS14" s="589"/>
      <c r="CT14" s="589"/>
      <c r="CU14" s="589"/>
      <c r="CV14" s="589"/>
      <c r="CW14" s="589"/>
      <c r="CX14" s="589"/>
      <c r="CY14" s="590"/>
      <c r="CZ14" s="641">
        <v>3.6</v>
      </c>
      <c r="DA14" s="641"/>
      <c r="DB14" s="641"/>
      <c r="DC14" s="641"/>
      <c r="DD14" s="594">
        <v>27854</v>
      </c>
      <c r="DE14" s="589"/>
      <c r="DF14" s="589"/>
      <c r="DG14" s="589"/>
      <c r="DH14" s="589"/>
      <c r="DI14" s="589"/>
      <c r="DJ14" s="589"/>
      <c r="DK14" s="589"/>
      <c r="DL14" s="589"/>
      <c r="DM14" s="589"/>
      <c r="DN14" s="589"/>
      <c r="DO14" s="589"/>
      <c r="DP14" s="590"/>
      <c r="DQ14" s="594">
        <v>948229</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54351</v>
      </c>
      <c r="S15" s="589"/>
      <c r="T15" s="589"/>
      <c r="U15" s="589"/>
      <c r="V15" s="589"/>
      <c r="W15" s="589"/>
      <c r="X15" s="589"/>
      <c r="Y15" s="590"/>
      <c r="Z15" s="641">
        <v>0.2</v>
      </c>
      <c r="AA15" s="641"/>
      <c r="AB15" s="641"/>
      <c r="AC15" s="641"/>
      <c r="AD15" s="642">
        <v>54351</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387246</v>
      </c>
      <c r="BH15" s="589"/>
      <c r="BI15" s="589"/>
      <c r="BJ15" s="589"/>
      <c r="BK15" s="589"/>
      <c r="BL15" s="589"/>
      <c r="BM15" s="589"/>
      <c r="BN15" s="590"/>
      <c r="BO15" s="641">
        <v>3.1</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4261817</v>
      </c>
      <c r="CS15" s="589"/>
      <c r="CT15" s="589"/>
      <c r="CU15" s="589"/>
      <c r="CV15" s="589"/>
      <c r="CW15" s="589"/>
      <c r="CX15" s="589"/>
      <c r="CY15" s="590"/>
      <c r="CZ15" s="641">
        <v>15.5</v>
      </c>
      <c r="DA15" s="641"/>
      <c r="DB15" s="641"/>
      <c r="DC15" s="641"/>
      <c r="DD15" s="594">
        <v>1926680</v>
      </c>
      <c r="DE15" s="589"/>
      <c r="DF15" s="589"/>
      <c r="DG15" s="589"/>
      <c r="DH15" s="589"/>
      <c r="DI15" s="589"/>
      <c r="DJ15" s="589"/>
      <c r="DK15" s="589"/>
      <c r="DL15" s="589"/>
      <c r="DM15" s="589"/>
      <c r="DN15" s="589"/>
      <c r="DO15" s="589"/>
      <c r="DP15" s="590"/>
      <c r="DQ15" s="594">
        <v>2506234</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2360326</v>
      </c>
      <c r="S16" s="589"/>
      <c r="T16" s="589"/>
      <c r="U16" s="589"/>
      <c r="V16" s="589"/>
      <c r="W16" s="589"/>
      <c r="X16" s="589"/>
      <c r="Y16" s="590"/>
      <c r="Z16" s="641">
        <v>8.3000000000000007</v>
      </c>
      <c r="AA16" s="641"/>
      <c r="AB16" s="641"/>
      <c r="AC16" s="641"/>
      <c r="AD16" s="642">
        <v>1989927</v>
      </c>
      <c r="AE16" s="642"/>
      <c r="AF16" s="642"/>
      <c r="AG16" s="642"/>
      <c r="AH16" s="642"/>
      <c r="AI16" s="642"/>
      <c r="AJ16" s="642"/>
      <c r="AK16" s="642"/>
      <c r="AL16" s="611">
        <v>13.3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220</v>
      </c>
      <c r="CS16" s="589"/>
      <c r="CT16" s="589"/>
      <c r="CU16" s="589"/>
      <c r="CV16" s="589"/>
      <c r="CW16" s="589"/>
      <c r="CX16" s="589"/>
      <c r="CY16" s="590"/>
      <c r="CZ16" s="641" t="s">
        <v>220</v>
      </c>
      <c r="DA16" s="641"/>
      <c r="DB16" s="641"/>
      <c r="DC16" s="641"/>
      <c r="DD16" s="594" t="s">
        <v>220</v>
      </c>
      <c r="DE16" s="589"/>
      <c r="DF16" s="589"/>
      <c r="DG16" s="589"/>
      <c r="DH16" s="589"/>
      <c r="DI16" s="589"/>
      <c r="DJ16" s="589"/>
      <c r="DK16" s="589"/>
      <c r="DL16" s="589"/>
      <c r="DM16" s="589"/>
      <c r="DN16" s="589"/>
      <c r="DO16" s="589"/>
      <c r="DP16" s="590"/>
      <c r="DQ16" s="594" t="s">
        <v>220</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1989927</v>
      </c>
      <c r="S17" s="589"/>
      <c r="T17" s="589"/>
      <c r="U17" s="589"/>
      <c r="V17" s="589"/>
      <c r="W17" s="589"/>
      <c r="X17" s="589"/>
      <c r="Y17" s="590"/>
      <c r="Z17" s="641">
        <v>7</v>
      </c>
      <c r="AA17" s="641"/>
      <c r="AB17" s="641"/>
      <c r="AC17" s="641"/>
      <c r="AD17" s="642">
        <v>1989927</v>
      </c>
      <c r="AE17" s="642"/>
      <c r="AF17" s="642"/>
      <c r="AG17" s="642"/>
      <c r="AH17" s="642"/>
      <c r="AI17" s="642"/>
      <c r="AJ17" s="642"/>
      <c r="AK17" s="642"/>
      <c r="AL17" s="611">
        <v>13.3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2153021</v>
      </c>
      <c r="CS17" s="589"/>
      <c r="CT17" s="589"/>
      <c r="CU17" s="589"/>
      <c r="CV17" s="589"/>
      <c r="CW17" s="589"/>
      <c r="CX17" s="589"/>
      <c r="CY17" s="590"/>
      <c r="CZ17" s="641">
        <v>7.8</v>
      </c>
      <c r="DA17" s="641"/>
      <c r="DB17" s="641"/>
      <c r="DC17" s="641"/>
      <c r="DD17" s="594" t="s">
        <v>220</v>
      </c>
      <c r="DE17" s="589"/>
      <c r="DF17" s="589"/>
      <c r="DG17" s="589"/>
      <c r="DH17" s="589"/>
      <c r="DI17" s="589"/>
      <c r="DJ17" s="589"/>
      <c r="DK17" s="589"/>
      <c r="DL17" s="589"/>
      <c r="DM17" s="589"/>
      <c r="DN17" s="589"/>
      <c r="DO17" s="589"/>
      <c r="DP17" s="590"/>
      <c r="DQ17" s="594">
        <v>2138858</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370398</v>
      </c>
      <c r="S18" s="589"/>
      <c r="T18" s="589"/>
      <c r="U18" s="589"/>
      <c r="V18" s="589"/>
      <c r="W18" s="589"/>
      <c r="X18" s="589"/>
      <c r="Y18" s="590"/>
      <c r="Z18" s="641">
        <v>1.3</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955141</v>
      </c>
      <c r="BH19" s="589"/>
      <c r="BI19" s="589"/>
      <c r="BJ19" s="589"/>
      <c r="BK19" s="589"/>
      <c r="BL19" s="589"/>
      <c r="BM19" s="589"/>
      <c r="BN19" s="590"/>
      <c r="BO19" s="641">
        <v>7.7</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16152544</v>
      </c>
      <c r="S20" s="589"/>
      <c r="T20" s="589"/>
      <c r="U20" s="589"/>
      <c r="V20" s="589"/>
      <c r="W20" s="589"/>
      <c r="X20" s="589"/>
      <c r="Y20" s="590"/>
      <c r="Z20" s="641">
        <v>57</v>
      </c>
      <c r="AA20" s="641"/>
      <c r="AB20" s="641"/>
      <c r="AC20" s="641"/>
      <c r="AD20" s="642">
        <v>14827004</v>
      </c>
      <c r="AE20" s="642"/>
      <c r="AF20" s="642"/>
      <c r="AG20" s="642"/>
      <c r="AH20" s="642"/>
      <c r="AI20" s="642"/>
      <c r="AJ20" s="642"/>
      <c r="AK20" s="642"/>
      <c r="AL20" s="611">
        <v>99.2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955141</v>
      </c>
      <c r="BH20" s="589"/>
      <c r="BI20" s="589"/>
      <c r="BJ20" s="589"/>
      <c r="BK20" s="589"/>
      <c r="BL20" s="589"/>
      <c r="BM20" s="589"/>
      <c r="BN20" s="590"/>
      <c r="BO20" s="641">
        <v>7.7</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27437756</v>
      </c>
      <c r="CS20" s="589"/>
      <c r="CT20" s="589"/>
      <c r="CU20" s="589"/>
      <c r="CV20" s="589"/>
      <c r="CW20" s="589"/>
      <c r="CX20" s="589"/>
      <c r="CY20" s="590"/>
      <c r="CZ20" s="641">
        <v>100</v>
      </c>
      <c r="DA20" s="641"/>
      <c r="DB20" s="641"/>
      <c r="DC20" s="641"/>
      <c r="DD20" s="594">
        <v>3555911</v>
      </c>
      <c r="DE20" s="589"/>
      <c r="DF20" s="589"/>
      <c r="DG20" s="589"/>
      <c r="DH20" s="589"/>
      <c r="DI20" s="589"/>
      <c r="DJ20" s="589"/>
      <c r="DK20" s="589"/>
      <c r="DL20" s="589"/>
      <c r="DM20" s="589"/>
      <c r="DN20" s="589"/>
      <c r="DO20" s="589"/>
      <c r="DP20" s="590"/>
      <c r="DQ20" s="594">
        <v>18050221</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9867</v>
      </c>
      <c r="S21" s="589"/>
      <c r="T21" s="589"/>
      <c r="U21" s="589"/>
      <c r="V21" s="589"/>
      <c r="W21" s="589"/>
      <c r="X21" s="589"/>
      <c r="Y21" s="590"/>
      <c r="Z21" s="641">
        <v>0</v>
      </c>
      <c r="AA21" s="641"/>
      <c r="AB21" s="641"/>
      <c r="AC21" s="641"/>
      <c r="AD21" s="642">
        <v>9867</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365253</v>
      </c>
      <c r="S22" s="589"/>
      <c r="T22" s="589"/>
      <c r="U22" s="589"/>
      <c r="V22" s="589"/>
      <c r="W22" s="589"/>
      <c r="X22" s="589"/>
      <c r="Y22" s="590"/>
      <c r="Z22" s="641">
        <v>1.3</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514170</v>
      </c>
      <c r="S23" s="589"/>
      <c r="T23" s="589"/>
      <c r="U23" s="589"/>
      <c r="V23" s="589"/>
      <c r="W23" s="589"/>
      <c r="X23" s="589"/>
      <c r="Y23" s="590"/>
      <c r="Z23" s="641">
        <v>1.8</v>
      </c>
      <c r="AA23" s="641"/>
      <c r="AB23" s="641"/>
      <c r="AC23" s="641"/>
      <c r="AD23" s="642">
        <v>90578</v>
      </c>
      <c r="AE23" s="642"/>
      <c r="AF23" s="642"/>
      <c r="AG23" s="642"/>
      <c r="AH23" s="642"/>
      <c r="AI23" s="642"/>
      <c r="AJ23" s="642"/>
      <c r="AK23" s="642"/>
      <c r="AL23" s="611">
        <v>0.6</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955141</v>
      </c>
      <c r="BH23" s="589"/>
      <c r="BI23" s="589"/>
      <c r="BJ23" s="589"/>
      <c r="BK23" s="589"/>
      <c r="BL23" s="589"/>
      <c r="BM23" s="589"/>
      <c r="BN23" s="590"/>
      <c r="BO23" s="641">
        <v>7.7</v>
      </c>
      <c r="BP23" s="641"/>
      <c r="BQ23" s="641"/>
      <c r="BR23" s="641"/>
      <c r="BS23" s="594" t="s">
        <v>220</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44634</v>
      </c>
      <c r="S24" s="589"/>
      <c r="T24" s="589"/>
      <c r="U24" s="589"/>
      <c r="V24" s="589"/>
      <c r="W24" s="589"/>
      <c r="X24" s="589"/>
      <c r="Y24" s="590"/>
      <c r="Z24" s="641">
        <v>0.2</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13318015</v>
      </c>
      <c r="CS24" s="639"/>
      <c r="CT24" s="639"/>
      <c r="CU24" s="639"/>
      <c r="CV24" s="639"/>
      <c r="CW24" s="639"/>
      <c r="CX24" s="639"/>
      <c r="CY24" s="686"/>
      <c r="CZ24" s="690">
        <v>48.5</v>
      </c>
      <c r="DA24" s="691"/>
      <c r="DB24" s="691"/>
      <c r="DC24" s="692"/>
      <c r="DD24" s="685">
        <v>8269793</v>
      </c>
      <c r="DE24" s="639"/>
      <c r="DF24" s="639"/>
      <c r="DG24" s="639"/>
      <c r="DH24" s="639"/>
      <c r="DI24" s="639"/>
      <c r="DJ24" s="639"/>
      <c r="DK24" s="686"/>
      <c r="DL24" s="685">
        <v>8214347</v>
      </c>
      <c r="DM24" s="639"/>
      <c r="DN24" s="639"/>
      <c r="DO24" s="639"/>
      <c r="DP24" s="639"/>
      <c r="DQ24" s="639"/>
      <c r="DR24" s="639"/>
      <c r="DS24" s="639"/>
      <c r="DT24" s="639"/>
      <c r="DU24" s="639"/>
      <c r="DV24" s="686"/>
      <c r="DW24" s="687">
        <v>50</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4405345</v>
      </c>
      <c r="S25" s="589"/>
      <c r="T25" s="589"/>
      <c r="U25" s="589"/>
      <c r="V25" s="589"/>
      <c r="W25" s="589"/>
      <c r="X25" s="589"/>
      <c r="Y25" s="590"/>
      <c r="Z25" s="641">
        <v>15.5</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4863712</v>
      </c>
      <c r="CS25" s="607"/>
      <c r="CT25" s="607"/>
      <c r="CU25" s="607"/>
      <c r="CV25" s="607"/>
      <c r="CW25" s="607"/>
      <c r="CX25" s="607"/>
      <c r="CY25" s="608"/>
      <c r="CZ25" s="591">
        <v>17.7</v>
      </c>
      <c r="DA25" s="609"/>
      <c r="DB25" s="609"/>
      <c r="DC25" s="610"/>
      <c r="DD25" s="594">
        <v>4463723</v>
      </c>
      <c r="DE25" s="607"/>
      <c r="DF25" s="607"/>
      <c r="DG25" s="607"/>
      <c r="DH25" s="607"/>
      <c r="DI25" s="607"/>
      <c r="DJ25" s="607"/>
      <c r="DK25" s="608"/>
      <c r="DL25" s="594">
        <v>4417997</v>
      </c>
      <c r="DM25" s="607"/>
      <c r="DN25" s="607"/>
      <c r="DO25" s="607"/>
      <c r="DP25" s="607"/>
      <c r="DQ25" s="607"/>
      <c r="DR25" s="607"/>
      <c r="DS25" s="607"/>
      <c r="DT25" s="607"/>
      <c r="DU25" s="607"/>
      <c r="DV25" s="608"/>
      <c r="DW25" s="611">
        <v>26.9</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3198587</v>
      </c>
      <c r="CS26" s="589"/>
      <c r="CT26" s="589"/>
      <c r="CU26" s="589"/>
      <c r="CV26" s="589"/>
      <c r="CW26" s="589"/>
      <c r="CX26" s="589"/>
      <c r="CY26" s="590"/>
      <c r="CZ26" s="591">
        <v>11.7</v>
      </c>
      <c r="DA26" s="609"/>
      <c r="DB26" s="609"/>
      <c r="DC26" s="610"/>
      <c r="DD26" s="594">
        <v>2861026</v>
      </c>
      <c r="DE26" s="589"/>
      <c r="DF26" s="589"/>
      <c r="DG26" s="589"/>
      <c r="DH26" s="589"/>
      <c r="DI26" s="589"/>
      <c r="DJ26" s="589"/>
      <c r="DK26" s="590"/>
      <c r="DL26" s="594" t="s">
        <v>279</v>
      </c>
      <c r="DM26" s="589"/>
      <c r="DN26" s="589"/>
      <c r="DO26" s="589"/>
      <c r="DP26" s="589"/>
      <c r="DQ26" s="589"/>
      <c r="DR26" s="589"/>
      <c r="DS26" s="589"/>
      <c r="DT26" s="589"/>
      <c r="DU26" s="589"/>
      <c r="DV26" s="590"/>
      <c r="DW26" s="611" t="s">
        <v>279</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2029383</v>
      </c>
      <c r="S27" s="589"/>
      <c r="T27" s="589"/>
      <c r="U27" s="589"/>
      <c r="V27" s="589"/>
      <c r="W27" s="589"/>
      <c r="X27" s="589"/>
      <c r="Y27" s="590"/>
      <c r="Z27" s="641">
        <v>7.2</v>
      </c>
      <c r="AA27" s="641"/>
      <c r="AB27" s="641"/>
      <c r="AC27" s="641"/>
      <c r="AD27" s="642" t="s">
        <v>220</v>
      </c>
      <c r="AE27" s="642"/>
      <c r="AF27" s="642"/>
      <c r="AG27" s="642"/>
      <c r="AH27" s="642"/>
      <c r="AI27" s="642"/>
      <c r="AJ27" s="642"/>
      <c r="AK27" s="642"/>
      <c r="AL27" s="611" t="s">
        <v>220</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12419166</v>
      </c>
      <c r="BH27" s="589"/>
      <c r="BI27" s="589"/>
      <c r="BJ27" s="589"/>
      <c r="BK27" s="589"/>
      <c r="BL27" s="589"/>
      <c r="BM27" s="589"/>
      <c r="BN27" s="590"/>
      <c r="BO27" s="641">
        <v>100</v>
      </c>
      <c r="BP27" s="641"/>
      <c r="BQ27" s="641"/>
      <c r="BR27" s="641"/>
      <c r="BS27" s="594">
        <v>172185</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6301282</v>
      </c>
      <c r="CS27" s="607"/>
      <c r="CT27" s="607"/>
      <c r="CU27" s="607"/>
      <c r="CV27" s="607"/>
      <c r="CW27" s="607"/>
      <c r="CX27" s="607"/>
      <c r="CY27" s="608"/>
      <c r="CZ27" s="591">
        <v>23</v>
      </c>
      <c r="DA27" s="609"/>
      <c r="DB27" s="609"/>
      <c r="DC27" s="610"/>
      <c r="DD27" s="594">
        <v>1667212</v>
      </c>
      <c r="DE27" s="607"/>
      <c r="DF27" s="607"/>
      <c r="DG27" s="607"/>
      <c r="DH27" s="607"/>
      <c r="DI27" s="607"/>
      <c r="DJ27" s="607"/>
      <c r="DK27" s="608"/>
      <c r="DL27" s="594">
        <v>1657492</v>
      </c>
      <c r="DM27" s="607"/>
      <c r="DN27" s="607"/>
      <c r="DO27" s="607"/>
      <c r="DP27" s="607"/>
      <c r="DQ27" s="607"/>
      <c r="DR27" s="607"/>
      <c r="DS27" s="607"/>
      <c r="DT27" s="607"/>
      <c r="DU27" s="607"/>
      <c r="DV27" s="608"/>
      <c r="DW27" s="611">
        <v>10.1</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20506</v>
      </c>
      <c r="S28" s="589"/>
      <c r="T28" s="589"/>
      <c r="U28" s="589"/>
      <c r="V28" s="589"/>
      <c r="W28" s="589"/>
      <c r="X28" s="589"/>
      <c r="Y28" s="590"/>
      <c r="Z28" s="641">
        <v>0.1</v>
      </c>
      <c r="AA28" s="641"/>
      <c r="AB28" s="641"/>
      <c r="AC28" s="641"/>
      <c r="AD28" s="642">
        <v>871</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2153021</v>
      </c>
      <c r="CS28" s="589"/>
      <c r="CT28" s="589"/>
      <c r="CU28" s="589"/>
      <c r="CV28" s="589"/>
      <c r="CW28" s="589"/>
      <c r="CX28" s="589"/>
      <c r="CY28" s="590"/>
      <c r="CZ28" s="591">
        <v>7.8</v>
      </c>
      <c r="DA28" s="609"/>
      <c r="DB28" s="609"/>
      <c r="DC28" s="610"/>
      <c r="DD28" s="594">
        <v>2138858</v>
      </c>
      <c r="DE28" s="589"/>
      <c r="DF28" s="589"/>
      <c r="DG28" s="589"/>
      <c r="DH28" s="589"/>
      <c r="DI28" s="589"/>
      <c r="DJ28" s="589"/>
      <c r="DK28" s="590"/>
      <c r="DL28" s="594">
        <v>2138858</v>
      </c>
      <c r="DM28" s="589"/>
      <c r="DN28" s="589"/>
      <c r="DO28" s="589"/>
      <c r="DP28" s="589"/>
      <c r="DQ28" s="589"/>
      <c r="DR28" s="589"/>
      <c r="DS28" s="589"/>
      <c r="DT28" s="589"/>
      <c r="DU28" s="589"/>
      <c r="DV28" s="590"/>
      <c r="DW28" s="611">
        <v>13</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22381</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2152324</v>
      </c>
      <c r="CS29" s="607"/>
      <c r="CT29" s="607"/>
      <c r="CU29" s="607"/>
      <c r="CV29" s="607"/>
      <c r="CW29" s="607"/>
      <c r="CX29" s="607"/>
      <c r="CY29" s="608"/>
      <c r="CZ29" s="591">
        <v>7.8</v>
      </c>
      <c r="DA29" s="609"/>
      <c r="DB29" s="609"/>
      <c r="DC29" s="610"/>
      <c r="DD29" s="594">
        <v>2138161</v>
      </c>
      <c r="DE29" s="607"/>
      <c r="DF29" s="607"/>
      <c r="DG29" s="607"/>
      <c r="DH29" s="607"/>
      <c r="DI29" s="607"/>
      <c r="DJ29" s="607"/>
      <c r="DK29" s="608"/>
      <c r="DL29" s="594">
        <v>2138161</v>
      </c>
      <c r="DM29" s="607"/>
      <c r="DN29" s="607"/>
      <c r="DO29" s="607"/>
      <c r="DP29" s="607"/>
      <c r="DQ29" s="607"/>
      <c r="DR29" s="607"/>
      <c r="DS29" s="607"/>
      <c r="DT29" s="607"/>
      <c r="DU29" s="607"/>
      <c r="DV29" s="608"/>
      <c r="DW29" s="611">
        <v>13</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482215</v>
      </c>
      <c r="S30" s="589"/>
      <c r="T30" s="589"/>
      <c r="U30" s="589"/>
      <c r="V30" s="589"/>
      <c r="W30" s="589"/>
      <c r="X30" s="589"/>
      <c r="Y30" s="590"/>
      <c r="Z30" s="641">
        <v>1.7</v>
      </c>
      <c r="AA30" s="641"/>
      <c r="AB30" s="641"/>
      <c r="AC30" s="641"/>
      <c r="AD30" s="642" t="s">
        <v>220</v>
      </c>
      <c r="AE30" s="642"/>
      <c r="AF30" s="642"/>
      <c r="AG30" s="642"/>
      <c r="AH30" s="642"/>
      <c r="AI30" s="642"/>
      <c r="AJ30" s="642"/>
      <c r="AK30" s="642"/>
      <c r="AL30" s="611" t="s">
        <v>220</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99.4</v>
      </c>
      <c r="BH30" s="655"/>
      <c r="BI30" s="655"/>
      <c r="BJ30" s="655"/>
      <c r="BK30" s="655"/>
      <c r="BL30" s="655"/>
      <c r="BM30" s="656">
        <v>97.2</v>
      </c>
      <c r="BN30" s="655"/>
      <c r="BO30" s="655"/>
      <c r="BP30" s="655"/>
      <c r="BQ30" s="657"/>
      <c r="BR30" s="654">
        <v>99.2</v>
      </c>
      <c r="BS30" s="655"/>
      <c r="BT30" s="655"/>
      <c r="BU30" s="655"/>
      <c r="BV30" s="655"/>
      <c r="BW30" s="655"/>
      <c r="BX30" s="656">
        <v>96.7</v>
      </c>
      <c r="BY30" s="655"/>
      <c r="BZ30" s="655"/>
      <c r="CA30" s="655"/>
      <c r="CB30" s="657"/>
      <c r="CD30" s="660"/>
      <c r="CE30" s="661"/>
      <c r="CF30" s="625" t="s">
        <v>293</v>
      </c>
      <c r="CG30" s="622"/>
      <c r="CH30" s="622"/>
      <c r="CI30" s="622"/>
      <c r="CJ30" s="622"/>
      <c r="CK30" s="622"/>
      <c r="CL30" s="622"/>
      <c r="CM30" s="622"/>
      <c r="CN30" s="622"/>
      <c r="CO30" s="622"/>
      <c r="CP30" s="622"/>
      <c r="CQ30" s="623"/>
      <c r="CR30" s="588">
        <v>1821902</v>
      </c>
      <c r="CS30" s="589"/>
      <c r="CT30" s="589"/>
      <c r="CU30" s="589"/>
      <c r="CV30" s="589"/>
      <c r="CW30" s="589"/>
      <c r="CX30" s="589"/>
      <c r="CY30" s="590"/>
      <c r="CZ30" s="591">
        <v>6.6</v>
      </c>
      <c r="DA30" s="609"/>
      <c r="DB30" s="609"/>
      <c r="DC30" s="610"/>
      <c r="DD30" s="594">
        <v>1809580</v>
      </c>
      <c r="DE30" s="589"/>
      <c r="DF30" s="589"/>
      <c r="DG30" s="589"/>
      <c r="DH30" s="589"/>
      <c r="DI30" s="589"/>
      <c r="DJ30" s="589"/>
      <c r="DK30" s="590"/>
      <c r="DL30" s="594">
        <v>1809580</v>
      </c>
      <c r="DM30" s="589"/>
      <c r="DN30" s="589"/>
      <c r="DO30" s="589"/>
      <c r="DP30" s="589"/>
      <c r="DQ30" s="589"/>
      <c r="DR30" s="589"/>
      <c r="DS30" s="589"/>
      <c r="DT30" s="589"/>
      <c r="DU30" s="589"/>
      <c r="DV30" s="590"/>
      <c r="DW30" s="611">
        <v>11</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781343</v>
      </c>
      <c r="S31" s="589"/>
      <c r="T31" s="589"/>
      <c r="U31" s="589"/>
      <c r="V31" s="589"/>
      <c r="W31" s="589"/>
      <c r="X31" s="589"/>
      <c r="Y31" s="590"/>
      <c r="Z31" s="641">
        <v>2.8</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99.3</v>
      </c>
      <c r="BH31" s="607"/>
      <c r="BI31" s="607"/>
      <c r="BJ31" s="607"/>
      <c r="BK31" s="607"/>
      <c r="BL31" s="607"/>
      <c r="BM31" s="643">
        <v>97.2</v>
      </c>
      <c r="BN31" s="653"/>
      <c r="BO31" s="653"/>
      <c r="BP31" s="653"/>
      <c r="BQ31" s="617"/>
      <c r="BR31" s="652">
        <v>99.2</v>
      </c>
      <c r="BS31" s="607"/>
      <c r="BT31" s="607"/>
      <c r="BU31" s="607"/>
      <c r="BV31" s="607"/>
      <c r="BW31" s="607"/>
      <c r="BX31" s="643">
        <v>96.7</v>
      </c>
      <c r="BY31" s="653"/>
      <c r="BZ31" s="653"/>
      <c r="CA31" s="653"/>
      <c r="CB31" s="617"/>
      <c r="CD31" s="660"/>
      <c r="CE31" s="661"/>
      <c r="CF31" s="625" t="s">
        <v>297</v>
      </c>
      <c r="CG31" s="622"/>
      <c r="CH31" s="622"/>
      <c r="CI31" s="622"/>
      <c r="CJ31" s="622"/>
      <c r="CK31" s="622"/>
      <c r="CL31" s="622"/>
      <c r="CM31" s="622"/>
      <c r="CN31" s="622"/>
      <c r="CO31" s="622"/>
      <c r="CP31" s="622"/>
      <c r="CQ31" s="623"/>
      <c r="CR31" s="588">
        <v>330422</v>
      </c>
      <c r="CS31" s="607"/>
      <c r="CT31" s="607"/>
      <c r="CU31" s="607"/>
      <c r="CV31" s="607"/>
      <c r="CW31" s="607"/>
      <c r="CX31" s="607"/>
      <c r="CY31" s="608"/>
      <c r="CZ31" s="591">
        <v>1.2</v>
      </c>
      <c r="DA31" s="609"/>
      <c r="DB31" s="609"/>
      <c r="DC31" s="610"/>
      <c r="DD31" s="594">
        <v>328581</v>
      </c>
      <c r="DE31" s="607"/>
      <c r="DF31" s="607"/>
      <c r="DG31" s="607"/>
      <c r="DH31" s="607"/>
      <c r="DI31" s="607"/>
      <c r="DJ31" s="607"/>
      <c r="DK31" s="608"/>
      <c r="DL31" s="594">
        <v>328581</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427980</v>
      </c>
      <c r="S32" s="589"/>
      <c r="T32" s="589"/>
      <c r="U32" s="589"/>
      <c r="V32" s="589"/>
      <c r="W32" s="589"/>
      <c r="X32" s="589"/>
      <c r="Y32" s="590"/>
      <c r="Z32" s="641">
        <v>1.5</v>
      </c>
      <c r="AA32" s="641"/>
      <c r="AB32" s="641"/>
      <c r="AC32" s="641"/>
      <c r="AD32" s="642">
        <v>16876</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99.4</v>
      </c>
      <c r="BH32" s="573"/>
      <c r="BI32" s="573"/>
      <c r="BJ32" s="573"/>
      <c r="BK32" s="573"/>
      <c r="BL32" s="573"/>
      <c r="BM32" s="636">
        <v>97</v>
      </c>
      <c r="BN32" s="573"/>
      <c r="BO32" s="573"/>
      <c r="BP32" s="573"/>
      <c r="BQ32" s="630"/>
      <c r="BR32" s="651">
        <v>99.1</v>
      </c>
      <c r="BS32" s="573"/>
      <c r="BT32" s="573"/>
      <c r="BU32" s="573"/>
      <c r="BV32" s="573"/>
      <c r="BW32" s="573"/>
      <c r="BX32" s="636">
        <v>96.4</v>
      </c>
      <c r="BY32" s="573"/>
      <c r="BZ32" s="573"/>
      <c r="CA32" s="573"/>
      <c r="CB32" s="630"/>
      <c r="CD32" s="662"/>
      <c r="CE32" s="663"/>
      <c r="CF32" s="625" t="s">
        <v>300</v>
      </c>
      <c r="CG32" s="622"/>
      <c r="CH32" s="622"/>
      <c r="CI32" s="622"/>
      <c r="CJ32" s="622"/>
      <c r="CK32" s="622"/>
      <c r="CL32" s="622"/>
      <c r="CM32" s="622"/>
      <c r="CN32" s="622"/>
      <c r="CO32" s="622"/>
      <c r="CP32" s="622"/>
      <c r="CQ32" s="623"/>
      <c r="CR32" s="588">
        <v>697</v>
      </c>
      <c r="CS32" s="589"/>
      <c r="CT32" s="589"/>
      <c r="CU32" s="589"/>
      <c r="CV32" s="589"/>
      <c r="CW32" s="589"/>
      <c r="CX32" s="589"/>
      <c r="CY32" s="590"/>
      <c r="CZ32" s="591">
        <v>0</v>
      </c>
      <c r="DA32" s="609"/>
      <c r="DB32" s="609"/>
      <c r="DC32" s="610"/>
      <c r="DD32" s="594">
        <v>697</v>
      </c>
      <c r="DE32" s="589"/>
      <c r="DF32" s="589"/>
      <c r="DG32" s="589"/>
      <c r="DH32" s="589"/>
      <c r="DI32" s="589"/>
      <c r="DJ32" s="589"/>
      <c r="DK32" s="590"/>
      <c r="DL32" s="594">
        <v>697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3105400</v>
      </c>
      <c r="S33" s="589"/>
      <c r="T33" s="589"/>
      <c r="U33" s="589"/>
      <c r="V33" s="589"/>
      <c r="W33" s="589"/>
      <c r="X33" s="589"/>
      <c r="Y33" s="590"/>
      <c r="Z33" s="641">
        <v>10.9</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10563830</v>
      </c>
      <c r="CS33" s="607"/>
      <c r="CT33" s="607"/>
      <c r="CU33" s="607"/>
      <c r="CV33" s="607"/>
      <c r="CW33" s="607"/>
      <c r="CX33" s="607"/>
      <c r="CY33" s="608"/>
      <c r="CZ33" s="591">
        <v>38.5</v>
      </c>
      <c r="DA33" s="609"/>
      <c r="DB33" s="609"/>
      <c r="DC33" s="610"/>
      <c r="DD33" s="594">
        <v>9155266</v>
      </c>
      <c r="DE33" s="607"/>
      <c r="DF33" s="607"/>
      <c r="DG33" s="607"/>
      <c r="DH33" s="607"/>
      <c r="DI33" s="607"/>
      <c r="DJ33" s="607"/>
      <c r="DK33" s="608"/>
      <c r="DL33" s="594">
        <v>7191832</v>
      </c>
      <c r="DM33" s="607"/>
      <c r="DN33" s="607"/>
      <c r="DO33" s="607"/>
      <c r="DP33" s="607"/>
      <c r="DQ33" s="607"/>
      <c r="DR33" s="607"/>
      <c r="DS33" s="607"/>
      <c r="DT33" s="607"/>
      <c r="DU33" s="607"/>
      <c r="DV33" s="608"/>
      <c r="DW33" s="611">
        <v>43.7</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3334090</v>
      </c>
      <c r="CS34" s="589"/>
      <c r="CT34" s="589"/>
      <c r="CU34" s="589"/>
      <c r="CV34" s="589"/>
      <c r="CW34" s="589"/>
      <c r="CX34" s="589"/>
      <c r="CY34" s="590"/>
      <c r="CZ34" s="591">
        <v>12.2</v>
      </c>
      <c r="DA34" s="609"/>
      <c r="DB34" s="609"/>
      <c r="DC34" s="610"/>
      <c r="DD34" s="594">
        <v>2816900</v>
      </c>
      <c r="DE34" s="589"/>
      <c r="DF34" s="589"/>
      <c r="DG34" s="589"/>
      <c r="DH34" s="589"/>
      <c r="DI34" s="589"/>
      <c r="DJ34" s="589"/>
      <c r="DK34" s="590"/>
      <c r="DL34" s="594">
        <v>2316274</v>
      </c>
      <c r="DM34" s="589"/>
      <c r="DN34" s="589"/>
      <c r="DO34" s="589"/>
      <c r="DP34" s="589"/>
      <c r="DQ34" s="589"/>
      <c r="DR34" s="589"/>
      <c r="DS34" s="589"/>
      <c r="DT34" s="589"/>
      <c r="DU34" s="589"/>
      <c r="DV34" s="590"/>
      <c r="DW34" s="611">
        <v>14.1</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1495000</v>
      </c>
      <c r="S35" s="589"/>
      <c r="T35" s="589"/>
      <c r="U35" s="589"/>
      <c r="V35" s="589"/>
      <c r="W35" s="589"/>
      <c r="X35" s="589"/>
      <c r="Y35" s="590"/>
      <c r="Z35" s="641">
        <v>5.3</v>
      </c>
      <c r="AA35" s="641"/>
      <c r="AB35" s="641"/>
      <c r="AC35" s="641"/>
      <c r="AD35" s="642" t="s">
        <v>220</v>
      </c>
      <c r="AE35" s="642"/>
      <c r="AF35" s="642"/>
      <c r="AG35" s="642"/>
      <c r="AH35" s="642"/>
      <c r="AI35" s="642"/>
      <c r="AJ35" s="642"/>
      <c r="AK35" s="642"/>
      <c r="AL35" s="611" t="s">
        <v>220</v>
      </c>
      <c r="AM35" s="643"/>
      <c r="AN35" s="643"/>
      <c r="AO35" s="644"/>
      <c r="AP35" s="186"/>
      <c r="AQ35" s="645" t="s">
        <v>308</v>
      </c>
      <c r="AR35" s="646"/>
      <c r="AS35" s="646"/>
      <c r="AT35" s="646"/>
      <c r="AU35" s="646"/>
      <c r="AV35" s="646"/>
      <c r="AW35" s="646"/>
      <c r="AX35" s="646"/>
      <c r="AY35" s="647"/>
      <c r="AZ35" s="638">
        <v>3187405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395577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129876</v>
      </c>
      <c r="CS35" s="607"/>
      <c r="CT35" s="607"/>
      <c r="CU35" s="607"/>
      <c r="CV35" s="607"/>
      <c r="CW35" s="607"/>
      <c r="CX35" s="607"/>
      <c r="CY35" s="608"/>
      <c r="CZ35" s="591">
        <v>0.5</v>
      </c>
      <c r="DA35" s="609"/>
      <c r="DB35" s="609"/>
      <c r="DC35" s="610"/>
      <c r="DD35" s="594">
        <v>117741</v>
      </c>
      <c r="DE35" s="607"/>
      <c r="DF35" s="607"/>
      <c r="DG35" s="607"/>
      <c r="DH35" s="607"/>
      <c r="DI35" s="607"/>
      <c r="DJ35" s="607"/>
      <c r="DK35" s="608"/>
      <c r="DL35" s="594">
        <v>116736</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28361021</v>
      </c>
      <c r="S36" s="629"/>
      <c r="T36" s="629"/>
      <c r="U36" s="629"/>
      <c r="V36" s="629"/>
      <c r="W36" s="629"/>
      <c r="X36" s="629"/>
      <c r="Y36" s="632"/>
      <c r="Z36" s="633">
        <v>100</v>
      </c>
      <c r="AA36" s="633"/>
      <c r="AB36" s="633"/>
      <c r="AC36" s="633"/>
      <c r="AD36" s="634">
        <v>14945196</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982000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334878</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3325773</v>
      </c>
      <c r="CS36" s="589"/>
      <c r="CT36" s="589"/>
      <c r="CU36" s="589"/>
      <c r="CV36" s="589"/>
      <c r="CW36" s="589"/>
      <c r="CX36" s="589"/>
      <c r="CY36" s="590"/>
      <c r="CZ36" s="591">
        <v>12.1</v>
      </c>
      <c r="DA36" s="609"/>
      <c r="DB36" s="609"/>
      <c r="DC36" s="610"/>
      <c r="DD36" s="594">
        <v>3016921</v>
      </c>
      <c r="DE36" s="589"/>
      <c r="DF36" s="589"/>
      <c r="DG36" s="589"/>
      <c r="DH36" s="589"/>
      <c r="DI36" s="589"/>
      <c r="DJ36" s="589"/>
      <c r="DK36" s="590"/>
      <c r="DL36" s="594">
        <v>2561093</v>
      </c>
      <c r="DM36" s="589"/>
      <c r="DN36" s="589"/>
      <c r="DO36" s="589"/>
      <c r="DP36" s="589"/>
      <c r="DQ36" s="589"/>
      <c r="DR36" s="589"/>
      <c r="DS36" s="589"/>
      <c r="DT36" s="589"/>
      <c r="DU36" s="589"/>
      <c r="DV36" s="590"/>
      <c r="DW36" s="611">
        <v>15.6</v>
      </c>
      <c r="DX36" s="612"/>
      <c r="DY36" s="612"/>
      <c r="DZ36" s="612"/>
      <c r="EA36" s="612"/>
      <c r="EB36" s="612"/>
      <c r="EC36" s="613"/>
    </row>
    <row r="37" spans="2:133" ht="11.25" customHeight="1">
      <c r="AQ37" s="614" t="s">
        <v>315</v>
      </c>
      <c r="AR37" s="615"/>
      <c r="AS37" s="615"/>
      <c r="AT37" s="615"/>
      <c r="AU37" s="615"/>
      <c r="AV37" s="615"/>
      <c r="AW37" s="615"/>
      <c r="AX37" s="615"/>
      <c r="AY37" s="616"/>
      <c r="AZ37" s="588">
        <v>41196</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10950</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1793482</v>
      </c>
      <c r="CS37" s="607"/>
      <c r="CT37" s="607"/>
      <c r="CU37" s="607"/>
      <c r="CV37" s="607"/>
      <c r="CW37" s="607"/>
      <c r="CX37" s="607"/>
      <c r="CY37" s="608"/>
      <c r="CZ37" s="591">
        <v>6.5</v>
      </c>
      <c r="DA37" s="609"/>
      <c r="DB37" s="609"/>
      <c r="DC37" s="610"/>
      <c r="DD37" s="594">
        <v>1785127</v>
      </c>
      <c r="DE37" s="607"/>
      <c r="DF37" s="607"/>
      <c r="DG37" s="607"/>
      <c r="DH37" s="607"/>
      <c r="DI37" s="607"/>
      <c r="DJ37" s="607"/>
      <c r="DK37" s="608"/>
      <c r="DL37" s="594">
        <v>1602428</v>
      </c>
      <c r="DM37" s="607"/>
      <c r="DN37" s="607"/>
      <c r="DO37" s="607"/>
      <c r="DP37" s="607"/>
      <c r="DQ37" s="607"/>
      <c r="DR37" s="607"/>
      <c r="DS37" s="607"/>
      <c r="DT37" s="607"/>
      <c r="DU37" s="607"/>
      <c r="DV37" s="608"/>
      <c r="DW37" s="611">
        <v>9.6999999999999993</v>
      </c>
      <c r="DX37" s="612"/>
      <c r="DY37" s="612"/>
      <c r="DZ37" s="612"/>
      <c r="EA37" s="612"/>
      <c r="EB37" s="612"/>
      <c r="EC37" s="613"/>
    </row>
    <row r="38" spans="2:133" ht="11.25" customHeight="1">
      <c r="AQ38" s="614" t="s">
        <v>318</v>
      </c>
      <c r="AR38" s="615"/>
      <c r="AS38" s="615"/>
      <c r="AT38" s="615"/>
      <c r="AU38" s="615"/>
      <c r="AV38" s="615"/>
      <c r="AW38" s="615"/>
      <c r="AX38" s="615"/>
      <c r="AY38" s="616"/>
      <c r="AZ38" s="588">
        <v>3800</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17848</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3146209</v>
      </c>
      <c r="CS38" s="589"/>
      <c r="CT38" s="589"/>
      <c r="CU38" s="589"/>
      <c r="CV38" s="589"/>
      <c r="CW38" s="589"/>
      <c r="CX38" s="589"/>
      <c r="CY38" s="590"/>
      <c r="CZ38" s="591">
        <v>11.5</v>
      </c>
      <c r="DA38" s="609"/>
      <c r="DB38" s="609"/>
      <c r="DC38" s="610"/>
      <c r="DD38" s="594">
        <v>2822498</v>
      </c>
      <c r="DE38" s="589"/>
      <c r="DF38" s="589"/>
      <c r="DG38" s="589"/>
      <c r="DH38" s="589"/>
      <c r="DI38" s="589"/>
      <c r="DJ38" s="589"/>
      <c r="DK38" s="590"/>
      <c r="DL38" s="594">
        <v>2197719</v>
      </c>
      <c r="DM38" s="589"/>
      <c r="DN38" s="589"/>
      <c r="DO38" s="589"/>
      <c r="DP38" s="589"/>
      <c r="DQ38" s="589"/>
      <c r="DR38" s="589"/>
      <c r="DS38" s="589"/>
      <c r="DT38" s="589"/>
      <c r="DU38" s="589"/>
      <c r="DV38" s="590"/>
      <c r="DW38" s="611">
        <v>13.4</v>
      </c>
      <c r="DX38" s="612"/>
      <c r="DY38" s="612"/>
      <c r="DZ38" s="612"/>
      <c r="EA38" s="612"/>
      <c r="EB38" s="612"/>
      <c r="EC38" s="613"/>
    </row>
    <row r="39" spans="2:133" ht="11.25" customHeight="1">
      <c r="AQ39" s="614" t="s">
        <v>321</v>
      </c>
      <c r="AR39" s="615"/>
      <c r="AS39" s="615"/>
      <c r="AT39" s="615"/>
      <c r="AU39" s="615"/>
      <c r="AV39" s="615"/>
      <c r="AW39" s="615"/>
      <c r="AX39" s="615"/>
      <c r="AY39" s="616"/>
      <c r="AZ39" s="588" t="s">
        <v>322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100</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487714</v>
      </c>
      <c r="CS39" s="607"/>
      <c r="CT39" s="607"/>
      <c r="CU39" s="607"/>
      <c r="CV39" s="607"/>
      <c r="CW39" s="607"/>
      <c r="CX39" s="607"/>
      <c r="CY39" s="608"/>
      <c r="CZ39" s="591">
        <v>1.8</v>
      </c>
      <c r="DA39" s="609"/>
      <c r="DB39" s="609"/>
      <c r="DC39" s="610"/>
      <c r="DD39" s="594">
        <v>381196</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602342</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85</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140168</v>
      </c>
      <c r="CS40" s="589"/>
      <c r="CT40" s="589"/>
      <c r="CU40" s="589"/>
      <c r="CV40" s="589"/>
      <c r="CW40" s="589"/>
      <c r="CX40" s="589"/>
      <c r="CY40" s="590"/>
      <c r="CZ40" s="591">
        <v>0.5</v>
      </c>
      <c r="DA40" s="609"/>
      <c r="DB40" s="609"/>
      <c r="DC40" s="610"/>
      <c r="DD40" s="594">
        <v>10</v>
      </c>
      <c r="DE40" s="589"/>
      <c r="DF40" s="589"/>
      <c r="DG40" s="589"/>
      <c r="DH40" s="589"/>
      <c r="DI40" s="589"/>
      <c r="DJ40" s="589"/>
      <c r="DK40" s="590"/>
      <c r="DL40" s="594">
        <v>10</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1558067</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322</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3555911</v>
      </c>
      <c r="CS42" s="589"/>
      <c r="CT42" s="589"/>
      <c r="CU42" s="589"/>
      <c r="CV42" s="589"/>
      <c r="CW42" s="589"/>
      <c r="CX42" s="589"/>
      <c r="CY42" s="590"/>
      <c r="CZ42" s="591">
        <v>13</v>
      </c>
      <c r="DA42" s="592"/>
      <c r="DB42" s="592"/>
      <c r="DC42" s="593"/>
      <c r="DD42" s="594">
        <v>625162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94538</v>
      </c>
      <c r="CS43" s="607"/>
      <c r="CT43" s="607"/>
      <c r="CU43" s="607"/>
      <c r="CV43" s="607"/>
      <c r="CW43" s="607"/>
      <c r="CX43" s="607"/>
      <c r="CY43" s="608"/>
      <c r="CZ43" s="591">
        <v>0.3</v>
      </c>
      <c r="DA43" s="609"/>
      <c r="DB43" s="609"/>
      <c r="DC43" s="610"/>
      <c r="DD43" s="594">
        <v>90868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3555911</v>
      </c>
      <c r="CS44" s="589"/>
      <c r="CT44" s="589"/>
      <c r="CU44" s="589"/>
      <c r="CV44" s="589"/>
      <c r="CW44" s="589"/>
      <c r="CX44" s="589"/>
      <c r="CY44" s="590"/>
      <c r="CZ44" s="591">
        <v>13</v>
      </c>
      <c r="DA44" s="592"/>
      <c r="DB44" s="592"/>
      <c r="DC44" s="593"/>
      <c r="DD44" s="594">
        <v>625162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2160114</v>
      </c>
      <c r="CS45" s="607"/>
      <c r="CT45" s="607"/>
      <c r="CU45" s="607"/>
      <c r="CV45" s="607"/>
      <c r="CW45" s="607"/>
      <c r="CX45" s="607"/>
      <c r="CY45" s="608"/>
      <c r="CZ45" s="591">
        <v>7.9</v>
      </c>
      <c r="DA45" s="609"/>
      <c r="DB45" s="609"/>
      <c r="DC45" s="610"/>
      <c r="DD45" s="594">
        <v>119263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1394300</v>
      </c>
      <c r="CS46" s="589"/>
      <c r="CT46" s="589"/>
      <c r="CU46" s="589"/>
      <c r="CV46" s="589"/>
      <c r="CW46" s="589"/>
      <c r="CX46" s="589"/>
      <c r="CY46" s="590"/>
      <c r="CZ46" s="591">
        <v>5.0999999999999996</v>
      </c>
      <c r="DA46" s="592"/>
      <c r="DB46" s="592"/>
      <c r="DC46" s="593"/>
      <c r="DD46" s="594">
        <v>505702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322</v>
      </c>
      <c r="CS47" s="607"/>
      <c r="CT47" s="607"/>
      <c r="CU47" s="607"/>
      <c r="CV47" s="607"/>
      <c r="CW47" s="607"/>
      <c r="CX47" s="607"/>
      <c r="CY47" s="608"/>
      <c r="CZ47" s="591" t="s">
        <v>322</v>
      </c>
      <c r="DA47" s="609"/>
      <c r="DB47" s="609"/>
      <c r="DC47" s="610"/>
      <c r="DD47" s="594" t="s">
        <v>322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27437756</v>
      </c>
      <c r="CS49" s="573"/>
      <c r="CT49" s="573"/>
      <c r="CU49" s="573"/>
      <c r="CV49" s="573"/>
      <c r="CW49" s="573"/>
      <c r="CX49" s="573"/>
      <c r="CY49" s="574"/>
      <c r="CZ49" s="575">
        <v>100</v>
      </c>
      <c r="DA49" s="576"/>
      <c r="DB49" s="576"/>
      <c r="DC49" s="577"/>
      <c r="DD49" s="578">
        <v>18050221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3" zoomScale="70" zoomScaleNormal="25" zoomScaleSheetLayoutView="70" workbookViewId="0">
      <selection activeCell="CH82" sqref="CH82:CL8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6" t="s">
        <v>347</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3" t="s">
        <v>349</v>
      </c>
      <c r="B5" s="994"/>
      <c r="C5" s="994"/>
      <c r="D5" s="994"/>
      <c r="E5" s="994"/>
      <c r="F5" s="994"/>
      <c r="G5" s="994"/>
      <c r="H5" s="994"/>
      <c r="I5" s="994"/>
      <c r="J5" s="994"/>
      <c r="K5" s="994"/>
      <c r="L5" s="994"/>
      <c r="M5" s="994"/>
      <c r="N5" s="994"/>
      <c r="O5" s="994"/>
      <c r="P5" s="995"/>
      <c r="Q5" s="999" t="s">
        <v>350</v>
      </c>
      <c r="R5" s="1000"/>
      <c r="S5" s="1000"/>
      <c r="T5" s="1000"/>
      <c r="U5" s="1001"/>
      <c r="V5" s="999" t="s">
        <v>351</v>
      </c>
      <c r="W5" s="1000"/>
      <c r="X5" s="1000"/>
      <c r="Y5" s="1000"/>
      <c r="Z5" s="1001"/>
      <c r="AA5" s="999" t="s">
        <v>352</v>
      </c>
      <c r="AB5" s="1000"/>
      <c r="AC5" s="1000"/>
      <c r="AD5" s="1000"/>
      <c r="AE5" s="1000"/>
      <c r="AF5" s="1109" t="s">
        <v>353</v>
      </c>
      <c r="AG5" s="1000"/>
      <c r="AH5" s="1000"/>
      <c r="AI5" s="1000"/>
      <c r="AJ5" s="1015"/>
      <c r="AK5" s="1000" t="s">
        <v>354</v>
      </c>
      <c r="AL5" s="1000"/>
      <c r="AM5" s="1000"/>
      <c r="AN5" s="1000"/>
      <c r="AO5" s="1001"/>
      <c r="AP5" s="999" t="s">
        <v>355</v>
      </c>
      <c r="AQ5" s="1000"/>
      <c r="AR5" s="1000"/>
      <c r="AS5" s="1000"/>
      <c r="AT5" s="1001"/>
      <c r="AU5" s="999" t="s">
        <v>356</v>
      </c>
      <c r="AV5" s="1000"/>
      <c r="AW5" s="1000"/>
      <c r="AX5" s="1000"/>
      <c r="AY5" s="1015"/>
      <c r="AZ5" s="207"/>
      <c r="BA5" s="207"/>
      <c r="BB5" s="207"/>
      <c r="BC5" s="207"/>
      <c r="BD5" s="207"/>
      <c r="BE5" s="208"/>
      <c r="BF5" s="208"/>
      <c r="BG5" s="208"/>
      <c r="BH5" s="208"/>
      <c r="BI5" s="208"/>
      <c r="BJ5" s="208"/>
      <c r="BK5" s="208"/>
      <c r="BL5" s="208"/>
      <c r="BM5" s="208"/>
      <c r="BN5" s="208"/>
      <c r="BO5" s="208"/>
      <c r="BP5" s="208"/>
      <c r="BQ5" s="993" t="s">
        <v>357</v>
      </c>
      <c r="BR5" s="994"/>
      <c r="BS5" s="994"/>
      <c r="BT5" s="994"/>
      <c r="BU5" s="994"/>
      <c r="BV5" s="994"/>
      <c r="BW5" s="994"/>
      <c r="BX5" s="994"/>
      <c r="BY5" s="994"/>
      <c r="BZ5" s="994"/>
      <c r="CA5" s="994"/>
      <c r="CB5" s="994"/>
      <c r="CC5" s="994"/>
      <c r="CD5" s="994"/>
      <c r="CE5" s="994"/>
      <c r="CF5" s="994"/>
      <c r="CG5" s="995"/>
      <c r="CH5" s="999" t="s">
        <v>358</v>
      </c>
      <c r="CI5" s="1000"/>
      <c r="CJ5" s="1000"/>
      <c r="CK5" s="1000"/>
      <c r="CL5" s="1001"/>
      <c r="CM5" s="999" t="s">
        <v>359</v>
      </c>
      <c r="CN5" s="1000"/>
      <c r="CO5" s="1000"/>
      <c r="CP5" s="1000"/>
      <c r="CQ5" s="1001"/>
      <c r="CR5" s="999" t="s">
        <v>360</v>
      </c>
      <c r="CS5" s="1000"/>
      <c r="CT5" s="1000"/>
      <c r="CU5" s="1000"/>
      <c r="CV5" s="1001"/>
      <c r="CW5" s="999" t="s">
        <v>361</v>
      </c>
      <c r="CX5" s="1000"/>
      <c r="CY5" s="1000"/>
      <c r="CZ5" s="1000"/>
      <c r="DA5" s="1001"/>
      <c r="DB5" s="999" t="s">
        <v>362</v>
      </c>
      <c r="DC5" s="1000"/>
      <c r="DD5" s="1000"/>
      <c r="DE5" s="1000"/>
      <c r="DF5" s="1001"/>
      <c r="DG5" s="1091" t="s">
        <v>363</v>
      </c>
      <c r="DH5" s="1092"/>
      <c r="DI5" s="1092"/>
      <c r="DJ5" s="1092"/>
      <c r="DK5" s="1093"/>
      <c r="DL5" s="1091" t="s">
        <v>364</v>
      </c>
      <c r="DM5" s="1092"/>
      <c r="DN5" s="1092"/>
      <c r="DO5" s="1092"/>
      <c r="DP5" s="1093"/>
      <c r="DQ5" s="999" t="s">
        <v>365</v>
      </c>
      <c r="DR5" s="1000"/>
      <c r="DS5" s="1000"/>
      <c r="DT5" s="1000"/>
      <c r="DU5" s="1001"/>
      <c r="DV5" s="999" t="s">
        <v>356</v>
      </c>
      <c r="DW5" s="1000"/>
      <c r="DX5" s="1000"/>
      <c r="DY5" s="1000"/>
      <c r="DZ5" s="1015"/>
      <c r="EA5" s="205"/>
    </row>
    <row r="6" spans="1:131" s="206" customFormat="1" ht="26.25" customHeight="1" thickBot="1">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10"/>
      <c r="AG6" s="1003"/>
      <c r="AH6" s="1003"/>
      <c r="AI6" s="1003"/>
      <c r="AJ6" s="1016"/>
      <c r="AK6" s="1003"/>
      <c r="AL6" s="1003"/>
      <c r="AM6" s="1003"/>
      <c r="AN6" s="1003"/>
      <c r="AO6" s="1004"/>
      <c r="AP6" s="1002"/>
      <c r="AQ6" s="1003"/>
      <c r="AR6" s="1003"/>
      <c r="AS6" s="1003"/>
      <c r="AT6" s="1004"/>
      <c r="AU6" s="1002"/>
      <c r="AV6" s="1003"/>
      <c r="AW6" s="1003"/>
      <c r="AX6" s="1003"/>
      <c r="AY6" s="1016"/>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94"/>
      <c r="DH6" s="1095"/>
      <c r="DI6" s="1095"/>
      <c r="DJ6" s="1095"/>
      <c r="DK6" s="1096"/>
      <c r="DL6" s="1094"/>
      <c r="DM6" s="1095"/>
      <c r="DN6" s="1095"/>
      <c r="DO6" s="1095"/>
      <c r="DP6" s="1096"/>
      <c r="DQ6" s="1002"/>
      <c r="DR6" s="1003"/>
      <c r="DS6" s="1003"/>
      <c r="DT6" s="1003"/>
      <c r="DU6" s="1004"/>
      <c r="DV6" s="1002"/>
      <c r="DW6" s="1003"/>
      <c r="DX6" s="1003"/>
      <c r="DY6" s="1003"/>
      <c r="DZ6" s="1016"/>
      <c r="EA6" s="205"/>
    </row>
    <row r="7" spans="1:131" s="206" customFormat="1" ht="26.25" customHeight="1" thickTop="1">
      <c r="A7" s="209">
        <v>1</v>
      </c>
      <c r="B7" s="1045" t="s">
        <v>366</v>
      </c>
      <c r="C7" s="1046"/>
      <c r="D7" s="1046"/>
      <c r="E7" s="1046"/>
      <c r="F7" s="1046"/>
      <c r="G7" s="1046"/>
      <c r="H7" s="1046"/>
      <c r="I7" s="1046"/>
      <c r="J7" s="1046"/>
      <c r="K7" s="1046"/>
      <c r="L7" s="1046"/>
      <c r="M7" s="1046"/>
      <c r="N7" s="1046"/>
      <c r="O7" s="1046"/>
      <c r="P7" s="1047"/>
      <c r="Q7" s="1097">
        <f>ROUND(28356755/1000,0)</f>
        <v>28357</v>
      </c>
      <c r="R7" s="1098"/>
      <c r="S7" s="1098"/>
      <c r="T7" s="1098"/>
      <c r="U7" s="1098"/>
      <c r="V7" s="1099">
        <f>ROUND(27448270/1000,0)</f>
        <v>27448</v>
      </c>
      <c r="W7" s="1100"/>
      <c r="X7" s="1100"/>
      <c r="Y7" s="1100"/>
      <c r="Z7" s="1101"/>
      <c r="AA7" s="1099">
        <f>ROUND(908485/1000,0)</f>
        <v>908</v>
      </c>
      <c r="AB7" s="1100"/>
      <c r="AC7" s="1100"/>
      <c r="AD7" s="1100"/>
      <c r="AE7" s="1102"/>
      <c r="AF7" s="1103">
        <v>776</v>
      </c>
      <c r="AG7" s="1104"/>
      <c r="AH7" s="1104"/>
      <c r="AI7" s="1104"/>
      <c r="AJ7" s="1105"/>
      <c r="AK7" s="1084">
        <v>482</v>
      </c>
      <c r="AL7" s="1085"/>
      <c r="AM7" s="1085"/>
      <c r="AN7" s="1085"/>
      <c r="AO7" s="1085"/>
      <c r="AP7" s="1085">
        <f>ROUND(26500649/1000,0)</f>
        <v>26501</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t="s">
        <v>544</v>
      </c>
      <c r="BT7" s="1089" t="s">
        <v>544</v>
      </c>
      <c r="BU7" s="1089" t="s">
        <v>544</v>
      </c>
      <c r="BV7" s="1089" t="s">
        <v>544</v>
      </c>
      <c r="BW7" s="1089" t="s">
        <v>544</v>
      </c>
      <c r="BX7" s="1089" t="s">
        <v>544</v>
      </c>
      <c r="BY7" s="1089" t="s">
        <v>544</v>
      </c>
      <c r="BZ7" s="1089" t="s">
        <v>544</v>
      </c>
      <c r="CA7" s="1089" t="s">
        <v>544</v>
      </c>
      <c r="CB7" s="1089" t="s">
        <v>544</v>
      </c>
      <c r="CC7" s="1089" t="s">
        <v>544</v>
      </c>
      <c r="CD7" s="1089" t="s">
        <v>544</v>
      </c>
      <c r="CE7" s="1089" t="s">
        <v>544</v>
      </c>
      <c r="CF7" s="1089" t="s">
        <v>544</v>
      </c>
      <c r="CG7" s="1090" t="s">
        <v>544</v>
      </c>
      <c r="CH7" s="1081">
        <f>ROUND(63537/1000,0)</f>
        <v>64</v>
      </c>
      <c r="CI7" s="1082">
        <v>60619</v>
      </c>
      <c r="CJ7" s="1082">
        <v>60619</v>
      </c>
      <c r="CK7" s="1082">
        <v>60619</v>
      </c>
      <c r="CL7" s="1083">
        <v>60619</v>
      </c>
      <c r="CM7" s="1081">
        <f>ROUND(683162/1000,0)</f>
        <v>683</v>
      </c>
      <c r="CN7" s="1082">
        <v>60619</v>
      </c>
      <c r="CO7" s="1082">
        <v>60619</v>
      </c>
      <c r="CP7" s="1082">
        <v>60619</v>
      </c>
      <c r="CQ7" s="1083">
        <v>60619</v>
      </c>
      <c r="CR7" s="1081">
        <f>ROUND(142450/1000,0)</f>
        <v>142</v>
      </c>
      <c r="CS7" s="1082">
        <v>60619</v>
      </c>
      <c r="CT7" s="1082">
        <v>60619</v>
      </c>
      <c r="CU7" s="1082">
        <v>60619</v>
      </c>
      <c r="CV7" s="1083">
        <v>60619</v>
      </c>
      <c r="CW7" s="1081" t="s">
        <v>550</v>
      </c>
      <c r="CX7" s="1082">
        <v>60619</v>
      </c>
      <c r="CY7" s="1082">
        <v>60619</v>
      </c>
      <c r="CZ7" s="1082">
        <v>60619</v>
      </c>
      <c r="DA7" s="1083">
        <v>60619</v>
      </c>
      <c r="DB7" s="1081">
        <f>ROUND(290000/1000,0)</f>
        <v>290</v>
      </c>
      <c r="DC7" s="1082">
        <v>60619</v>
      </c>
      <c r="DD7" s="1082">
        <v>60619</v>
      </c>
      <c r="DE7" s="1082">
        <v>60619</v>
      </c>
      <c r="DF7" s="1083">
        <v>60619</v>
      </c>
      <c r="DG7" s="1081" t="s">
        <v>551</v>
      </c>
      <c r="DH7" s="1082"/>
      <c r="DI7" s="1082"/>
      <c r="DJ7" s="1082"/>
      <c r="DK7" s="1083"/>
      <c r="DL7" s="1081" t="s">
        <v>550</v>
      </c>
      <c r="DM7" s="1082"/>
      <c r="DN7" s="1082"/>
      <c r="DO7" s="1082"/>
      <c r="DP7" s="1083"/>
      <c r="DQ7" s="1081" t="s">
        <v>550</v>
      </c>
      <c r="DR7" s="1082"/>
      <c r="DS7" s="1082"/>
      <c r="DT7" s="1082"/>
      <c r="DU7" s="1083"/>
      <c r="DV7" s="1111"/>
      <c r="DW7" s="1112"/>
      <c r="DX7" s="1112"/>
      <c r="DY7" s="1112"/>
      <c r="DZ7" s="1113"/>
      <c r="EA7" s="205"/>
    </row>
    <row r="8" spans="1:131" s="206" customFormat="1" ht="26.25" customHeight="1">
      <c r="A8" s="212">
        <v>2</v>
      </c>
      <c r="B8" s="1027" t="s">
        <v>367</v>
      </c>
      <c r="C8" s="1028"/>
      <c r="D8" s="1028"/>
      <c r="E8" s="1028"/>
      <c r="F8" s="1028"/>
      <c r="G8" s="1028"/>
      <c r="H8" s="1028"/>
      <c r="I8" s="1028"/>
      <c r="J8" s="1028"/>
      <c r="K8" s="1028"/>
      <c r="L8" s="1028"/>
      <c r="M8" s="1028"/>
      <c r="N8" s="1028"/>
      <c r="O8" s="1028"/>
      <c r="P8" s="1029"/>
      <c r="Q8" s="1039">
        <f>ROUND(107081/1000,0)</f>
        <v>107</v>
      </c>
      <c r="R8" s="1040"/>
      <c r="S8" s="1040"/>
      <c r="T8" s="1040"/>
      <c r="U8" s="1040"/>
      <c r="V8" s="1040">
        <f>ROUND(92301/1000,0)</f>
        <v>92</v>
      </c>
      <c r="W8" s="1040"/>
      <c r="X8" s="1040"/>
      <c r="Y8" s="1040"/>
      <c r="Z8" s="1040"/>
      <c r="AA8" s="1041">
        <f>ROUND(14780/1000,0)</f>
        <v>15</v>
      </c>
      <c r="AB8" s="1034"/>
      <c r="AC8" s="1034"/>
      <c r="AD8" s="1034"/>
      <c r="AE8" s="1035"/>
      <c r="AF8" s="1033">
        <v>15</v>
      </c>
      <c r="AG8" s="1034"/>
      <c r="AH8" s="1034"/>
      <c r="AI8" s="1034"/>
      <c r="AJ8" s="1035"/>
      <c r="AK8" s="1079">
        <v>5</v>
      </c>
      <c r="AL8" s="1080"/>
      <c r="AM8" s="1080"/>
      <c r="AN8" s="1080"/>
      <c r="AO8" s="1080"/>
      <c r="AP8" s="1080">
        <f>ROUND(18900/1000,0)</f>
        <v>19</v>
      </c>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12" t="s">
        <v>545</v>
      </c>
      <c r="BT8" s="1013" t="s">
        <v>545</v>
      </c>
      <c r="BU8" s="1013" t="s">
        <v>545</v>
      </c>
      <c r="BV8" s="1013" t="s">
        <v>545</v>
      </c>
      <c r="BW8" s="1013" t="s">
        <v>545</v>
      </c>
      <c r="BX8" s="1013" t="s">
        <v>545</v>
      </c>
      <c r="BY8" s="1013" t="s">
        <v>545</v>
      </c>
      <c r="BZ8" s="1013" t="s">
        <v>545</v>
      </c>
      <c r="CA8" s="1013" t="s">
        <v>545</v>
      </c>
      <c r="CB8" s="1013" t="s">
        <v>545</v>
      </c>
      <c r="CC8" s="1013" t="s">
        <v>545</v>
      </c>
      <c r="CD8" s="1013" t="s">
        <v>545</v>
      </c>
      <c r="CE8" s="1013" t="s">
        <v>545</v>
      </c>
      <c r="CF8" s="1013" t="s">
        <v>545</v>
      </c>
      <c r="CG8" s="1014" t="s">
        <v>545</v>
      </c>
      <c r="CH8" s="987">
        <f>ROUND(-1704/1000,0)</f>
        <v>-2</v>
      </c>
      <c r="CI8" s="988">
        <v>-964</v>
      </c>
      <c r="CJ8" s="988">
        <v>-964</v>
      </c>
      <c r="CK8" s="988">
        <v>-964</v>
      </c>
      <c r="CL8" s="989">
        <v>-964</v>
      </c>
      <c r="CM8" s="987">
        <f>ROUND(22962/1000,0)</f>
        <v>23</v>
      </c>
      <c r="CN8" s="988">
        <v>-964</v>
      </c>
      <c r="CO8" s="988">
        <v>-964</v>
      </c>
      <c r="CP8" s="988">
        <v>-964</v>
      </c>
      <c r="CQ8" s="989">
        <v>-964</v>
      </c>
      <c r="CR8" s="987">
        <f>ROUND(10000/1000,0)</f>
        <v>10</v>
      </c>
      <c r="CS8" s="988">
        <v>-964</v>
      </c>
      <c r="CT8" s="988">
        <v>-964</v>
      </c>
      <c r="CU8" s="988">
        <v>-964</v>
      </c>
      <c r="CV8" s="989">
        <v>-964</v>
      </c>
      <c r="CW8" s="987">
        <f>ROUND(77427/1000,0)</f>
        <v>77</v>
      </c>
      <c r="CX8" s="988">
        <v>-964</v>
      </c>
      <c r="CY8" s="988">
        <v>-964</v>
      </c>
      <c r="CZ8" s="988">
        <v>-964</v>
      </c>
      <c r="DA8" s="989">
        <v>-964</v>
      </c>
      <c r="DB8" s="987" t="s">
        <v>478</v>
      </c>
      <c r="DC8" s="988">
        <v>60619</v>
      </c>
      <c r="DD8" s="988">
        <v>60619</v>
      </c>
      <c r="DE8" s="988">
        <v>60619</v>
      </c>
      <c r="DF8" s="989">
        <v>60619</v>
      </c>
      <c r="DG8" s="987" t="s">
        <v>478</v>
      </c>
      <c r="DH8" s="988">
        <v>60619</v>
      </c>
      <c r="DI8" s="988">
        <v>60619</v>
      </c>
      <c r="DJ8" s="988">
        <v>60619</v>
      </c>
      <c r="DK8" s="989">
        <v>60619</v>
      </c>
      <c r="DL8" s="987" t="s">
        <v>478</v>
      </c>
      <c r="DM8" s="988">
        <v>60619</v>
      </c>
      <c r="DN8" s="988">
        <v>60619</v>
      </c>
      <c r="DO8" s="988">
        <v>60619</v>
      </c>
      <c r="DP8" s="989">
        <v>60619</v>
      </c>
      <c r="DQ8" s="987" t="s">
        <v>478</v>
      </c>
      <c r="DR8" s="988">
        <v>60619</v>
      </c>
      <c r="DS8" s="988">
        <v>60619</v>
      </c>
      <c r="DT8" s="988">
        <v>60619</v>
      </c>
      <c r="DU8" s="989">
        <v>60619</v>
      </c>
      <c r="DV8" s="990"/>
      <c r="DW8" s="991"/>
      <c r="DX8" s="991"/>
      <c r="DY8" s="991"/>
      <c r="DZ8" s="992"/>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12" t="s">
        <v>546</v>
      </c>
      <c r="BT9" s="1013" t="s">
        <v>546</v>
      </c>
      <c r="BU9" s="1013" t="s">
        <v>546</v>
      </c>
      <c r="BV9" s="1013" t="s">
        <v>546</v>
      </c>
      <c r="BW9" s="1013" t="s">
        <v>546</v>
      </c>
      <c r="BX9" s="1013" t="s">
        <v>546</v>
      </c>
      <c r="BY9" s="1013" t="s">
        <v>546</v>
      </c>
      <c r="BZ9" s="1013" t="s">
        <v>546</v>
      </c>
      <c r="CA9" s="1013" t="s">
        <v>546</v>
      </c>
      <c r="CB9" s="1013" t="s">
        <v>546</v>
      </c>
      <c r="CC9" s="1013" t="s">
        <v>546</v>
      </c>
      <c r="CD9" s="1013" t="s">
        <v>546</v>
      </c>
      <c r="CE9" s="1013" t="s">
        <v>546</v>
      </c>
      <c r="CF9" s="1013" t="s">
        <v>546</v>
      </c>
      <c r="CG9" s="1014" t="s">
        <v>546</v>
      </c>
      <c r="CH9" s="987">
        <f>ROUND(389/1000,0)</f>
        <v>0</v>
      </c>
      <c r="CI9" s="988">
        <v>-1924</v>
      </c>
      <c r="CJ9" s="988">
        <v>-1924</v>
      </c>
      <c r="CK9" s="988">
        <v>-1924</v>
      </c>
      <c r="CL9" s="989">
        <v>-1924</v>
      </c>
      <c r="CM9" s="987">
        <f>ROUND(85304/1000,0)</f>
        <v>85</v>
      </c>
      <c r="CN9" s="988">
        <v>-1924</v>
      </c>
      <c r="CO9" s="988">
        <v>-1924</v>
      </c>
      <c r="CP9" s="988">
        <v>-1924</v>
      </c>
      <c r="CQ9" s="989">
        <v>-1924</v>
      </c>
      <c r="CR9" s="987">
        <f t="shared" ref="CR9" si="0">ROUND(10000/1000,0)</f>
        <v>10</v>
      </c>
      <c r="CS9" s="988">
        <v>-964</v>
      </c>
      <c r="CT9" s="988">
        <v>-964</v>
      </c>
      <c r="CU9" s="988">
        <v>-964</v>
      </c>
      <c r="CV9" s="989">
        <v>-964</v>
      </c>
      <c r="CW9" s="987">
        <f>ROUND(432/1000,0)</f>
        <v>0</v>
      </c>
      <c r="CX9" s="988">
        <v>-964</v>
      </c>
      <c r="CY9" s="988">
        <v>-964</v>
      </c>
      <c r="CZ9" s="988">
        <v>-964</v>
      </c>
      <c r="DA9" s="989">
        <v>-964</v>
      </c>
      <c r="DB9" s="987" t="s">
        <v>478</v>
      </c>
      <c r="DC9" s="988">
        <v>60619</v>
      </c>
      <c r="DD9" s="988">
        <v>60619</v>
      </c>
      <c r="DE9" s="988">
        <v>60619</v>
      </c>
      <c r="DF9" s="989">
        <v>60619</v>
      </c>
      <c r="DG9" s="987" t="s">
        <v>478</v>
      </c>
      <c r="DH9" s="988">
        <v>60619</v>
      </c>
      <c r="DI9" s="988">
        <v>60619</v>
      </c>
      <c r="DJ9" s="988">
        <v>60619</v>
      </c>
      <c r="DK9" s="989">
        <v>60619</v>
      </c>
      <c r="DL9" s="987" t="s">
        <v>478</v>
      </c>
      <c r="DM9" s="988">
        <v>60619</v>
      </c>
      <c r="DN9" s="988">
        <v>60619</v>
      </c>
      <c r="DO9" s="988">
        <v>60619</v>
      </c>
      <c r="DP9" s="989">
        <v>60619</v>
      </c>
      <c r="DQ9" s="987" t="s">
        <v>478</v>
      </c>
      <c r="DR9" s="988">
        <v>60619</v>
      </c>
      <c r="DS9" s="988">
        <v>60619</v>
      </c>
      <c r="DT9" s="988">
        <v>60619</v>
      </c>
      <c r="DU9" s="989">
        <v>60619</v>
      </c>
      <c r="DV9" s="990"/>
      <c r="DW9" s="991"/>
      <c r="DX9" s="991"/>
      <c r="DY9" s="991"/>
      <c r="DZ9" s="992"/>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12" t="s">
        <v>547</v>
      </c>
      <c r="BT10" s="1013" t="s">
        <v>547</v>
      </c>
      <c r="BU10" s="1013" t="s">
        <v>547</v>
      </c>
      <c r="BV10" s="1013" t="s">
        <v>547</v>
      </c>
      <c r="BW10" s="1013" t="s">
        <v>547</v>
      </c>
      <c r="BX10" s="1013" t="s">
        <v>547</v>
      </c>
      <c r="BY10" s="1013" t="s">
        <v>547</v>
      </c>
      <c r="BZ10" s="1013" t="s">
        <v>547</v>
      </c>
      <c r="CA10" s="1013" t="s">
        <v>547</v>
      </c>
      <c r="CB10" s="1013" t="s">
        <v>547</v>
      </c>
      <c r="CC10" s="1013" t="s">
        <v>547</v>
      </c>
      <c r="CD10" s="1013" t="s">
        <v>547</v>
      </c>
      <c r="CE10" s="1013" t="s">
        <v>547</v>
      </c>
      <c r="CF10" s="1013" t="s">
        <v>547</v>
      </c>
      <c r="CG10" s="1014" t="s">
        <v>547</v>
      </c>
      <c r="CH10" s="987">
        <f>ROUND(2795/1000,0)</f>
        <v>3</v>
      </c>
      <c r="CI10" s="988">
        <v>-6571</v>
      </c>
      <c r="CJ10" s="988">
        <v>-6571</v>
      </c>
      <c r="CK10" s="988">
        <v>-6571</v>
      </c>
      <c r="CL10" s="989">
        <v>-6571</v>
      </c>
      <c r="CM10" s="987">
        <f>ROUND(36937/1000,0)</f>
        <v>37</v>
      </c>
      <c r="CN10" s="988">
        <v>-6571</v>
      </c>
      <c r="CO10" s="988">
        <v>-6571</v>
      </c>
      <c r="CP10" s="988">
        <v>-6571</v>
      </c>
      <c r="CQ10" s="989">
        <v>-6571</v>
      </c>
      <c r="CR10" s="987">
        <f>ROUND(20000/1000,0)</f>
        <v>20</v>
      </c>
      <c r="CS10" s="988">
        <v>-964</v>
      </c>
      <c r="CT10" s="988">
        <v>-964</v>
      </c>
      <c r="CU10" s="988">
        <v>-964</v>
      </c>
      <c r="CV10" s="989">
        <v>-964</v>
      </c>
      <c r="CW10" s="987">
        <f>ROUND(41500/1000,0)</f>
        <v>42</v>
      </c>
      <c r="CX10" s="988">
        <v>-964</v>
      </c>
      <c r="CY10" s="988">
        <v>-964</v>
      </c>
      <c r="CZ10" s="988">
        <v>-964</v>
      </c>
      <c r="DA10" s="989">
        <v>-964</v>
      </c>
      <c r="DB10" s="987" t="s">
        <v>478</v>
      </c>
      <c r="DC10" s="988">
        <v>60619</v>
      </c>
      <c r="DD10" s="988">
        <v>60619</v>
      </c>
      <c r="DE10" s="988">
        <v>60619</v>
      </c>
      <c r="DF10" s="989">
        <v>60619</v>
      </c>
      <c r="DG10" s="987" t="s">
        <v>478</v>
      </c>
      <c r="DH10" s="988">
        <v>60619</v>
      </c>
      <c r="DI10" s="988">
        <v>60619</v>
      </c>
      <c r="DJ10" s="988">
        <v>60619</v>
      </c>
      <c r="DK10" s="989">
        <v>60619</v>
      </c>
      <c r="DL10" s="987" t="s">
        <v>478</v>
      </c>
      <c r="DM10" s="988">
        <v>60619</v>
      </c>
      <c r="DN10" s="988">
        <v>60619</v>
      </c>
      <c r="DO10" s="988">
        <v>60619</v>
      </c>
      <c r="DP10" s="989">
        <v>60619</v>
      </c>
      <c r="DQ10" s="987" t="s">
        <v>478</v>
      </c>
      <c r="DR10" s="988">
        <v>60619</v>
      </c>
      <c r="DS10" s="988">
        <v>60619</v>
      </c>
      <c r="DT10" s="988">
        <v>60619</v>
      </c>
      <c r="DU10" s="989">
        <v>60619</v>
      </c>
      <c r="DV10" s="990"/>
      <c r="DW10" s="991"/>
      <c r="DX10" s="991"/>
      <c r="DY10" s="991"/>
      <c r="DZ10" s="992"/>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12" t="s">
        <v>548</v>
      </c>
      <c r="BT11" s="1013" t="s">
        <v>548</v>
      </c>
      <c r="BU11" s="1013" t="s">
        <v>548</v>
      </c>
      <c r="BV11" s="1013" t="s">
        <v>548</v>
      </c>
      <c r="BW11" s="1013" t="s">
        <v>548</v>
      </c>
      <c r="BX11" s="1013" t="s">
        <v>548</v>
      </c>
      <c r="BY11" s="1013" t="s">
        <v>548</v>
      </c>
      <c r="BZ11" s="1013" t="s">
        <v>548</v>
      </c>
      <c r="CA11" s="1013" t="s">
        <v>548</v>
      </c>
      <c r="CB11" s="1013" t="s">
        <v>548</v>
      </c>
      <c r="CC11" s="1013" t="s">
        <v>548</v>
      </c>
      <c r="CD11" s="1013" t="s">
        <v>548</v>
      </c>
      <c r="CE11" s="1013" t="s">
        <v>548</v>
      </c>
      <c r="CF11" s="1013" t="s">
        <v>548</v>
      </c>
      <c r="CG11" s="1014" t="s">
        <v>548</v>
      </c>
      <c r="CH11" s="987">
        <f>ROUND(727/1000,0)</f>
        <v>1</v>
      </c>
      <c r="CI11" s="988">
        <v>2059</v>
      </c>
      <c r="CJ11" s="988">
        <v>2059</v>
      </c>
      <c r="CK11" s="988">
        <v>2059</v>
      </c>
      <c r="CL11" s="989">
        <v>2059</v>
      </c>
      <c r="CM11" s="987">
        <f>ROUND(66883/1000,0)</f>
        <v>67</v>
      </c>
      <c r="CN11" s="988">
        <v>-6571</v>
      </c>
      <c r="CO11" s="988">
        <v>-6571</v>
      </c>
      <c r="CP11" s="988">
        <v>-6571</v>
      </c>
      <c r="CQ11" s="989">
        <v>-6571</v>
      </c>
      <c r="CR11" s="987">
        <f>ROUND(14717/1000,0)</f>
        <v>15</v>
      </c>
      <c r="CS11" s="988">
        <v>-964</v>
      </c>
      <c r="CT11" s="988">
        <v>-964</v>
      </c>
      <c r="CU11" s="988">
        <v>-964</v>
      </c>
      <c r="CV11" s="989">
        <v>-964</v>
      </c>
      <c r="CW11" s="987">
        <f>ROUND(9048/1000,0)</f>
        <v>9</v>
      </c>
      <c r="CX11" s="988">
        <v>-964</v>
      </c>
      <c r="CY11" s="988">
        <v>-964</v>
      </c>
      <c r="CZ11" s="988">
        <v>-964</v>
      </c>
      <c r="DA11" s="989">
        <v>-964</v>
      </c>
      <c r="DB11" s="987" t="s">
        <v>478</v>
      </c>
      <c r="DC11" s="988">
        <v>60619</v>
      </c>
      <c r="DD11" s="988">
        <v>60619</v>
      </c>
      <c r="DE11" s="988">
        <v>60619</v>
      </c>
      <c r="DF11" s="989">
        <v>60619</v>
      </c>
      <c r="DG11" s="987" t="s">
        <v>478</v>
      </c>
      <c r="DH11" s="988">
        <v>60619</v>
      </c>
      <c r="DI11" s="988">
        <v>60619</v>
      </c>
      <c r="DJ11" s="988">
        <v>60619</v>
      </c>
      <c r="DK11" s="989">
        <v>60619</v>
      </c>
      <c r="DL11" s="987" t="s">
        <v>478</v>
      </c>
      <c r="DM11" s="988">
        <v>60619</v>
      </c>
      <c r="DN11" s="988">
        <v>60619</v>
      </c>
      <c r="DO11" s="988">
        <v>60619</v>
      </c>
      <c r="DP11" s="989">
        <v>60619</v>
      </c>
      <c r="DQ11" s="987" t="s">
        <v>478</v>
      </c>
      <c r="DR11" s="988">
        <v>60619</v>
      </c>
      <c r="DS11" s="988">
        <v>60619</v>
      </c>
      <c r="DT11" s="988">
        <v>60619</v>
      </c>
      <c r="DU11" s="989">
        <v>60619</v>
      </c>
      <c r="DV11" s="990"/>
      <c r="DW11" s="991"/>
      <c r="DX11" s="991"/>
      <c r="DY11" s="991"/>
      <c r="DZ11" s="992"/>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12" t="s">
        <v>549</v>
      </c>
      <c r="BT12" s="1013" t="s">
        <v>549</v>
      </c>
      <c r="BU12" s="1013" t="s">
        <v>549</v>
      </c>
      <c r="BV12" s="1013" t="s">
        <v>549</v>
      </c>
      <c r="BW12" s="1013" t="s">
        <v>549</v>
      </c>
      <c r="BX12" s="1013" t="s">
        <v>549</v>
      </c>
      <c r="BY12" s="1013" t="s">
        <v>549</v>
      </c>
      <c r="BZ12" s="1013" t="s">
        <v>549</v>
      </c>
      <c r="CA12" s="1013" t="s">
        <v>549</v>
      </c>
      <c r="CB12" s="1013" t="s">
        <v>549</v>
      </c>
      <c r="CC12" s="1013" t="s">
        <v>549</v>
      </c>
      <c r="CD12" s="1013" t="s">
        <v>549</v>
      </c>
      <c r="CE12" s="1013" t="s">
        <v>549</v>
      </c>
      <c r="CF12" s="1013" t="s">
        <v>549</v>
      </c>
      <c r="CG12" s="1014" t="s">
        <v>549</v>
      </c>
      <c r="CH12" s="987">
        <f>ROUND(491/1000,0)</f>
        <v>0</v>
      </c>
      <c r="CI12" s="988">
        <v>116</v>
      </c>
      <c r="CJ12" s="988">
        <v>116</v>
      </c>
      <c r="CK12" s="988">
        <v>116</v>
      </c>
      <c r="CL12" s="989">
        <v>116</v>
      </c>
      <c r="CM12" s="987">
        <f>ROUND(41739/1000,0)</f>
        <v>42</v>
      </c>
      <c r="CN12" s="988">
        <v>116</v>
      </c>
      <c r="CO12" s="988">
        <v>116</v>
      </c>
      <c r="CP12" s="988">
        <v>116</v>
      </c>
      <c r="CQ12" s="989">
        <v>116</v>
      </c>
      <c r="CR12" s="987">
        <f>ROUND(20000/1000,0)</f>
        <v>20</v>
      </c>
      <c r="CS12" s="988">
        <v>-964</v>
      </c>
      <c r="CT12" s="988">
        <v>-964</v>
      </c>
      <c r="CU12" s="988">
        <v>-964</v>
      </c>
      <c r="CV12" s="989">
        <v>-964</v>
      </c>
      <c r="CW12" s="987">
        <f>ROUND(24905/1000,0)</f>
        <v>25</v>
      </c>
      <c r="CX12" s="988">
        <v>-964</v>
      </c>
      <c r="CY12" s="988">
        <v>-964</v>
      </c>
      <c r="CZ12" s="988">
        <v>-964</v>
      </c>
      <c r="DA12" s="989">
        <v>-964</v>
      </c>
      <c r="DB12" s="987" t="s">
        <v>478</v>
      </c>
      <c r="DC12" s="988">
        <v>60619</v>
      </c>
      <c r="DD12" s="988">
        <v>60619</v>
      </c>
      <c r="DE12" s="988">
        <v>60619</v>
      </c>
      <c r="DF12" s="989">
        <v>60619</v>
      </c>
      <c r="DG12" s="987" t="s">
        <v>478</v>
      </c>
      <c r="DH12" s="988">
        <v>60619</v>
      </c>
      <c r="DI12" s="988">
        <v>60619</v>
      </c>
      <c r="DJ12" s="988">
        <v>60619</v>
      </c>
      <c r="DK12" s="989">
        <v>60619</v>
      </c>
      <c r="DL12" s="987" t="s">
        <v>478</v>
      </c>
      <c r="DM12" s="988">
        <v>60619</v>
      </c>
      <c r="DN12" s="988">
        <v>60619</v>
      </c>
      <c r="DO12" s="988">
        <v>60619</v>
      </c>
      <c r="DP12" s="989">
        <v>60619</v>
      </c>
      <c r="DQ12" s="987" t="s">
        <v>478</v>
      </c>
      <c r="DR12" s="988">
        <v>60619</v>
      </c>
      <c r="DS12" s="988">
        <v>60619</v>
      </c>
      <c r="DT12" s="988">
        <v>60619</v>
      </c>
      <c r="DU12" s="989">
        <v>60619</v>
      </c>
      <c r="DV12" s="990"/>
      <c r="DW12" s="991"/>
      <c r="DX12" s="991"/>
      <c r="DY12" s="991"/>
      <c r="DZ12" s="992"/>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t="s">
        <v>553</v>
      </c>
      <c r="BS13" s="1012" t="s">
        <v>552</v>
      </c>
      <c r="BT13" s="1013" t="s">
        <v>552</v>
      </c>
      <c r="BU13" s="1013" t="s">
        <v>552</v>
      </c>
      <c r="BV13" s="1013" t="s">
        <v>552</v>
      </c>
      <c r="BW13" s="1013" t="s">
        <v>552</v>
      </c>
      <c r="BX13" s="1013" t="s">
        <v>552</v>
      </c>
      <c r="BY13" s="1013" t="s">
        <v>552</v>
      </c>
      <c r="BZ13" s="1013" t="s">
        <v>552</v>
      </c>
      <c r="CA13" s="1013" t="s">
        <v>552</v>
      </c>
      <c r="CB13" s="1013" t="s">
        <v>552</v>
      </c>
      <c r="CC13" s="1013" t="s">
        <v>552</v>
      </c>
      <c r="CD13" s="1013" t="s">
        <v>552</v>
      </c>
      <c r="CE13" s="1013" t="s">
        <v>552</v>
      </c>
      <c r="CF13" s="1013" t="s">
        <v>552</v>
      </c>
      <c r="CG13" s="1014" t="s">
        <v>552</v>
      </c>
      <c r="CH13" s="987">
        <f>ROUND(59/1000,0)</f>
        <v>0</v>
      </c>
      <c r="CI13" s="988">
        <v>116</v>
      </c>
      <c r="CJ13" s="988">
        <v>116</v>
      </c>
      <c r="CK13" s="988">
        <v>116</v>
      </c>
      <c r="CL13" s="989">
        <v>116</v>
      </c>
      <c r="CM13" s="987">
        <f>ROUND(20648/1000,0)</f>
        <v>21</v>
      </c>
      <c r="CN13" s="988">
        <v>116</v>
      </c>
      <c r="CO13" s="988">
        <v>116</v>
      </c>
      <c r="CP13" s="988">
        <v>116</v>
      </c>
      <c r="CQ13" s="989">
        <v>116</v>
      </c>
      <c r="CR13" s="987">
        <f>ROUND(1500/1000,0)</f>
        <v>2</v>
      </c>
      <c r="CS13" s="988">
        <v>-964</v>
      </c>
      <c r="CT13" s="988">
        <v>-964</v>
      </c>
      <c r="CU13" s="988">
        <v>-964</v>
      </c>
      <c r="CV13" s="989">
        <v>-964</v>
      </c>
      <c r="CW13" s="987">
        <v>0</v>
      </c>
      <c r="CX13" s="988">
        <v>-964</v>
      </c>
      <c r="CY13" s="988">
        <v>-964</v>
      </c>
      <c r="CZ13" s="988">
        <v>-964</v>
      </c>
      <c r="DA13" s="989">
        <v>-964</v>
      </c>
      <c r="DB13" s="987" t="s">
        <v>478</v>
      </c>
      <c r="DC13" s="988">
        <v>60619</v>
      </c>
      <c r="DD13" s="988">
        <v>60619</v>
      </c>
      <c r="DE13" s="988">
        <v>60619</v>
      </c>
      <c r="DF13" s="989">
        <v>60619</v>
      </c>
      <c r="DG13" s="987" t="s">
        <v>478</v>
      </c>
      <c r="DH13" s="988">
        <v>60619</v>
      </c>
      <c r="DI13" s="988">
        <v>60619</v>
      </c>
      <c r="DJ13" s="988">
        <v>60619</v>
      </c>
      <c r="DK13" s="989">
        <v>60619</v>
      </c>
      <c r="DL13" s="987" t="s">
        <v>478</v>
      </c>
      <c r="DM13" s="988">
        <v>60619</v>
      </c>
      <c r="DN13" s="988">
        <v>60619</v>
      </c>
      <c r="DO13" s="988">
        <v>60619</v>
      </c>
      <c r="DP13" s="989">
        <v>60619</v>
      </c>
      <c r="DQ13" s="987" t="s">
        <v>478</v>
      </c>
      <c r="DR13" s="988">
        <v>60619</v>
      </c>
      <c r="DS13" s="988">
        <v>60619</v>
      </c>
      <c r="DT13" s="988">
        <v>60619</v>
      </c>
      <c r="DU13" s="989">
        <v>60619</v>
      </c>
      <c r="DV13" s="990"/>
      <c r="DW13" s="991"/>
      <c r="DX13" s="991"/>
      <c r="DY13" s="991"/>
      <c r="DZ13" s="992"/>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4"/>
      <c r="R22" s="1075"/>
      <c r="S22" s="1075"/>
      <c r="T22" s="1075"/>
      <c r="U22" s="1075"/>
      <c r="V22" s="1075"/>
      <c r="W22" s="1075"/>
      <c r="X22" s="1075"/>
      <c r="Y22" s="1075"/>
      <c r="Z22" s="1075"/>
      <c r="AA22" s="1075"/>
      <c r="AB22" s="1075"/>
      <c r="AC22" s="1075"/>
      <c r="AD22" s="1075"/>
      <c r="AE22" s="1076"/>
      <c r="AF22" s="1033"/>
      <c r="AG22" s="1034"/>
      <c r="AH22" s="1034"/>
      <c r="AI22" s="1034"/>
      <c r="AJ22" s="1035"/>
      <c r="AK22" s="1070"/>
      <c r="AL22" s="1071"/>
      <c r="AM22" s="1071"/>
      <c r="AN22" s="1071"/>
      <c r="AO22" s="1071"/>
      <c r="AP22" s="1071"/>
      <c r="AQ22" s="1071"/>
      <c r="AR22" s="1071"/>
      <c r="AS22" s="1071"/>
      <c r="AT22" s="1071"/>
      <c r="AU22" s="1072"/>
      <c r="AV22" s="1072"/>
      <c r="AW22" s="1072"/>
      <c r="AX22" s="1072"/>
      <c r="AY22" s="1073"/>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1">
        <f>ROUND(28361021/1000,0)</f>
        <v>28361</v>
      </c>
      <c r="R23" s="1062"/>
      <c r="S23" s="1062"/>
      <c r="T23" s="1062"/>
      <c r="U23" s="1062"/>
      <c r="V23" s="1062">
        <f>ROUND(27437756/1000,0)</f>
        <v>27438</v>
      </c>
      <c r="W23" s="1062"/>
      <c r="X23" s="1062"/>
      <c r="Y23" s="1062"/>
      <c r="Z23" s="1062"/>
      <c r="AA23" s="1062">
        <f>ROUND(923265/1000,0)</f>
        <v>923</v>
      </c>
      <c r="AB23" s="1062"/>
      <c r="AC23" s="1062"/>
      <c r="AD23" s="1062"/>
      <c r="AE23" s="1063"/>
      <c r="AF23" s="1064">
        <v>791</v>
      </c>
      <c r="AG23" s="1062"/>
      <c r="AH23" s="1062"/>
      <c r="AI23" s="1062"/>
      <c r="AJ23" s="1065"/>
      <c r="AK23" s="1066"/>
      <c r="AL23" s="1067"/>
      <c r="AM23" s="1067"/>
      <c r="AN23" s="1067"/>
      <c r="AO23" s="1067"/>
      <c r="AP23" s="1062">
        <f>ROUND(26519549/1000,0)</f>
        <v>26520</v>
      </c>
      <c r="AQ23" s="1062"/>
      <c r="AR23" s="1062"/>
      <c r="AS23" s="1062"/>
      <c r="AT23" s="1062"/>
      <c r="AU23" s="1068"/>
      <c r="AV23" s="1068"/>
      <c r="AW23" s="1068"/>
      <c r="AX23" s="1068"/>
      <c r="AY23" s="1069"/>
      <c r="AZ23" s="1058" t="s">
        <v>112</v>
      </c>
      <c r="BA23" s="1059"/>
      <c r="BB23" s="1059"/>
      <c r="BC23" s="1059"/>
      <c r="BD23" s="1060"/>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05"/>
    </row>
    <row r="24" spans="1:131" s="206" customFormat="1" ht="26.25" customHeight="1">
      <c r="A24" s="1057" t="s">
        <v>371</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05"/>
    </row>
    <row r="25" spans="1:131" s="198" customFormat="1" ht="26.25" customHeight="1" thickBot="1">
      <c r="A25" s="1056" t="s">
        <v>372</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97"/>
    </row>
    <row r="26" spans="1:131" s="198" customFormat="1" ht="26.25" customHeight="1">
      <c r="A26" s="993" t="s">
        <v>349</v>
      </c>
      <c r="B26" s="994"/>
      <c r="C26" s="994"/>
      <c r="D26" s="994"/>
      <c r="E26" s="994"/>
      <c r="F26" s="994"/>
      <c r="G26" s="994"/>
      <c r="H26" s="994"/>
      <c r="I26" s="994"/>
      <c r="J26" s="994"/>
      <c r="K26" s="994"/>
      <c r="L26" s="994"/>
      <c r="M26" s="994"/>
      <c r="N26" s="994"/>
      <c r="O26" s="994"/>
      <c r="P26" s="995"/>
      <c r="Q26" s="999" t="s">
        <v>373</v>
      </c>
      <c r="R26" s="1000"/>
      <c r="S26" s="1000"/>
      <c r="T26" s="1000"/>
      <c r="U26" s="1001"/>
      <c r="V26" s="999" t="s">
        <v>374</v>
      </c>
      <c r="W26" s="1000"/>
      <c r="X26" s="1000"/>
      <c r="Y26" s="1000"/>
      <c r="Z26" s="1001"/>
      <c r="AA26" s="999" t="s">
        <v>375</v>
      </c>
      <c r="AB26" s="1000"/>
      <c r="AC26" s="1000"/>
      <c r="AD26" s="1000"/>
      <c r="AE26" s="1000"/>
      <c r="AF26" s="1052" t="s">
        <v>376</v>
      </c>
      <c r="AG26" s="1006"/>
      <c r="AH26" s="1006"/>
      <c r="AI26" s="1006"/>
      <c r="AJ26" s="1053"/>
      <c r="AK26" s="1000" t="s">
        <v>377</v>
      </c>
      <c r="AL26" s="1000"/>
      <c r="AM26" s="1000"/>
      <c r="AN26" s="1000"/>
      <c r="AO26" s="1001"/>
      <c r="AP26" s="999" t="s">
        <v>378</v>
      </c>
      <c r="AQ26" s="1000"/>
      <c r="AR26" s="1000"/>
      <c r="AS26" s="1000"/>
      <c r="AT26" s="1001"/>
      <c r="AU26" s="999" t="s">
        <v>379</v>
      </c>
      <c r="AV26" s="1000"/>
      <c r="AW26" s="1000"/>
      <c r="AX26" s="1000"/>
      <c r="AY26" s="1001"/>
      <c r="AZ26" s="999" t="s">
        <v>380</v>
      </c>
      <c r="BA26" s="1000"/>
      <c r="BB26" s="1000"/>
      <c r="BC26" s="1000"/>
      <c r="BD26" s="1001"/>
      <c r="BE26" s="999" t="s">
        <v>356</v>
      </c>
      <c r="BF26" s="1000"/>
      <c r="BG26" s="1000"/>
      <c r="BH26" s="1000"/>
      <c r="BI26" s="1015"/>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97"/>
    </row>
    <row r="27" spans="1:131" s="198" customFormat="1" ht="26.25" customHeight="1" thickBot="1">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4"/>
      <c r="AG27" s="1009"/>
      <c r="AH27" s="1009"/>
      <c r="AI27" s="1009"/>
      <c r="AJ27" s="1055"/>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97"/>
    </row>
    <row r="28" spans="1:131" s="198" customFormat="1" ht="26.25" customHeight="1" thickTop="1">
      <c r="A28" s="217">
        <v>1</v>
      </c>
      <c r="B28" s="1045" t="s">
        <v>381</v>
      </c>
      <c r="C28" s="1046"/>
      <c r="D28" s="1046"/>
      <c r="E28" s="1046"/>
      <c r="F28" s="1046"/>
      <c r="G28" s="1046"/>
      <c r="H28" s="1046"/>
      <c r="I28" s="1046"/>
      <c r="J28" s="1046"/>
      <c r="K28" s="1046"/>
      <c r="L28" s="1046"/>
      <c r="M28" s="1046"/>
      <c r="N28" s="1046"/>
      <c r="O28" s="1046"/>
      <c r="P28" s="1047"/>
      <c r="Q28" s="986">
        <f>ROUND(8742661/1000,0)</f>
        <v>8743</v>
      </c>
      <c r="R28" s="980"/>
      <c r="S28" s="980"/>
      <c r="T28" s="980"/>
      <c r="U28" s="980"/>
      <c r="V28" s="980">
        <f>ROUND(8347084/1000,0)</f>
        <v>8347</v>
      </c>
      <c r="W28" s="980"/>
      <c r="X28" s="980"/>
      <c r="Y28" s="980"/>
      <c r="Z28" s="980"/>
      <c r="AA28" s="980">
        <f>ROUND(395577/1000,0)</f>
        <v>396</v>
      </c>
      <c r="AB28" s="980"/>
      <c r="AC28" s="980"/>
      <c r="AD28" s="980"/>
      <c r="AE28" s="980"/>
      <c r="AF28" s="1048">
        <v>396</v>
      </c>
      <c r="AG28" s="980"/>
      <c r="AH28" s="980"/>
      <c r="AI28" s="980"/>
      <c r="AJ28" s="1049"/>
      <c r="AK28" s="1050">
        <v>602</v>
      </c>
      <c r="AL28" s="1051"/>
      <c r="AM28" s="1051"/>
      <c r="AN28" s="1051"/>
      <c r="AO28" s="1051"/>
      <c r="AP28" s="969" t="s">
        <v>532</v>
      </c>
      <c r="AQ28" s="969"/>
      <c r="AR28" s="969"/>
      <c r="AS28" s="969"/>
      <c r="AT28" s="969"/>
      <c r="AU28" s="969" t="s">
        <v>532</v>
      </c>
      <c r="AV28" s="969"/>
      <c r="AW28" s="969"/>
      <c r="AX28" s="969"/>
      <c r="AY28" s="969"/>
      <c r="AZ28" s="1038" t="s">
        <v>532</v>
      </c>
      <c r="BA28" s="1038"/>
      <c r="BB28" s="1038"/>
      <c r="BC28" s="1038"/>
      <c r="BD28" s="1038"/>
      <c r="BE28" s="1043"/>
      <c r="BF28" s="1043"/>
      <c r="BG28" s="1043"/>
      <c r="BH28" s="1043"/>
      <c r="BI28" s="1044"/>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97"/>
    </row>
    <row r="29" spans="1:131" s="198" customFormat="1" ht="26.25" customHeight="1">
      <c r="A29" s="217">
        <v>2</v>
      </c>
      <c r="B29" s="1027" t="s">
        <v>382</v>
      </c>
      <c r="C29" s="1028"/>
      <c r="D29" s="1028"/>
      <c r="E29" s="1028"/>
      <c r="F29" s="1028"/>
      <c r="G29" s="1028"/>
      <c r="H29" s="1028"/>
      <c r="I29" s="1028"/>
      <c r="J29" s="1028"/>
      <c r="K29" s="1028"/>
      <c r="L29" s="1028"/>
      <c r="M29" s="1028"/>
      <c r="N29" s="1028"/>
      <c r="O29" s="1028"/>
      <c r="P29" s="1029"/>
      <c r="Q29" s="1039">
        <f>ROUND(5612325/1000,0)</f>
        <v>5612</v>
      </c>
      <c r="R29" s="1040"/>
      <c r="S29" s="1040"/>
      <c r="T29" s="1040"/>
      <c r="U29" s="1040"/>
      <c r="V29" s="1041">
        <f>ROUND(5514787/1000,0)</f>
        <v>5515</v>
      </c>
      <c r="W29" s="1034"/>
      <c r="X29" s="1034"/>
      <c r="Y29" s="1034"/>
      <c r="Z29" s="1042"/>
      <c r="AA29" s="1041">
        <f>ROUND(97538/1000,0)</f>
        <v>98</v>
      </c>
      <c r="AB29" s="1034"/>
      <c r="AC29" s="1034"/>
      <c r="AD29" s="1034"/>
      <c r="AE29" s="1035"/>
      <c r="AF29" s="1033">
        <v>98</v>
      </c>
      <c r="AG29" s="1034"/>
      <c r="AH29" s="1034"/>
      <c r="AI29" s="1034"/>
      <c r="AJ29" s="1035"/>
      <c r="AK29" s="978">
        <v>832</v>
      </c>
      <c r="AL29" s="969"/>
      <c r="AM29" s="969"/>
      <c r="AN29" s="969"/>
      <c r="AO29" s="969"/>
      <c r="AP29" s="969" t="s">
        <v>532</v>
      </c>
      <c r="AQ29" s="969"/>
      <c r="AR29" s="969"/>
      <c r="AS29" s="969"/>
      <c r="AT29" s="969"/>
      <c r="AU29" s="969" t="s">
        <v>532</v>
      </c>
      <c r="AV29" s="969"/>
      <c r="AW29" s="969"/>
      <c r="AX29" s="969"/>
      <c r="AY29" s="969"/>
      <c r="AZ29" s="1038" t="s">
        <v>532</v>
      </c>
      <c r="BA29" s="1038"/>
      <c r="BB29" s="1038"/>
      <c r="BC29" s="1038"/>
      <c r="BD29" s="1038"/>
      <c r="BE29" s="1022"/>
      <c r="BF29" s="1022"/>
      <c r="BG29" s="1022"/>
      <c r="BH29" s="1022"/>
      <c r="BI29" s="1023"/>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97"/>
    </row>
    <row r="30" spans="1:131" s="198" customFormat="1" ht="26.25" customHeight="1">
      <c r="A30" s="217">
        <v>3</v>
      </c>
      <c r="B30" s="1027" t="s">
        <v>383</v>
      </c>
      <c r="C30" s="1028"/>
      <c r="D30" s="1028"/>
      <c r="E30" s="1028"/>
      <c r="F30" s="1028"/>
      <c r="G30" s="1028"/>
      <c r="H30" s="1028"/>
      <c r="I30" s="1028"/>
      <c r="J30" s="1028"/>
      <c r="K30" s="1028"/>
      <c r="L30" s="1028"/>
      <c r="M30" s="1028"/>
      <c r="N30" s="1028"/>
      <c r="O30" s="1028"/>
      <c r="P30" s="1029"/>
      <c r="Q30" s="1039">
        <f>ROUND(1082915/1000,0)</f>
        <v>1083</v>
      </c>
      <c r="R30" s="1040"/>
      <c r="S30" s="1040"/>
      <c r="T30" s="1040"/>
      <c r="U30" s="1040"/>
      <c r="V30" s="1040">
        <f>ROUND(1040767/1000,0)</f>
        <v>1041</v>
      </c>
      <c r="W30" s="1040"/>
      <c r="X30" s="1040"/>
      <c r="Y30" s="1040"/>
      <c r="Z30" s="1040"/>
      <c r="AA30" s="1041">
        <f>ROUND(42148/1000,0)</f>
        <v>42</v>
      </c>
      <c r="AB30" s="1034"/>
      <c r="AC30" s="1034"/>
      <c r="AD30" s="1034"/>
      <c r="AE30" s="1035"/>
      <c r="AF30" s="1033">
        <v>42</v>
      </c>
      <c r="AG30" s="1034"/>
      <c r="AH30" s="1034"/>
      <c r="AI30" s="1034"/>
      <c r="AJ30" s="1035"/>
      <c r="AK30" s="978">
        <v>186</v>
      </c>
      <c r="AL30" s="969"/>
      <c r="AM30" s="969"/>
      <c r="AN30" s="969"/>
      <c r="AO30" s="969"/>
      <c r="AP30" s="969" t="s">
        <v>532</v>
      </c>
      <c r="AQ30" s="969"/>
      <c r="AR30" s="969"/>
      <c r="AS30" s="969"/>
      <c r="AT30" s="969"/>
      <c r="AU30" s="969" t="s">
        <v>532</v>
      </c>
      <c r="AV30" s="969"/>
      <c r="AW30" s="969"/>
      <c r="AX30" s="969"/>
      <c r="AY30" s="969"/>
      <c r="AZ30" s="1038" t="s">
        <v>532</v>
      </c>
      <c r="BA30" s="1038"/>
      <c r="BB30" s="1038"/>
      <c r="BC30" s="1038"/>
      <c r="BD30" s="1038"/>
      <c r="BE30" s="1022"/>
      <c r="BF30" s="1022"/>
      <c r="BG30" s="1022"/>
      <c r="BH30" s="1022"/>
      <c r="BI30" s="1023"/>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97"/>
    </row>
    <row r="31" spans="1:131" s="198" customFormat="1" ht="26.25" customHeight="1">
      <c r="A31" s="217">
        <v>4</v>
      </c>
      <c r="B31" s="1027" t="s">
        <v>384</v>
      </c>
      <c r="C31" s="1028"/>
      <c r="D31" s="1028"/>
      <c r="E31" s="1028"/>
      <c r="F31" s="1028"/>
      <c r="G31" s="1028"/>
      <c r="H31" s="1028"/>
      <c r="I31" s="1028"/>
      <c r="J31" s="1028"/>
      <c r="K31" s="1028"/>
      <c r="L31" s="1028"/>
      <c r="M31" s="1028"/>
      <c r="N31" s="1028"/>
      <c r="O31" s="1028"/>
      <c r="P31" s="1029"/>
      <c r="Q31" s="1039">
        <f>ROUND(74831/1000,0)</f>
        <v>75</v>
      </c>
      <c r="R31" s="1040"/>
      <c r="S31" s="1040"/>
      <c r="T31" s="1040"/>
      <c r="U31" s="1040"/>
      <c r="V31" s="1040">
        <f>ROUND(63802/1000,0)</f>
        <v>64</v>
      </c>
      <c r="W31" s="1040"/>
      <c r="X31" s="1040"/>
      <c r="Y31" s="1040"/>
      <c r="Z31" s="1040"/>
      <c r="AA31" s="1041">
        <f>ROUND(11029/1000,0)</f>
        <v>11</v>
      </c>
      <c r="AB31" s="1034"/>
      <c r="AC31" s="1034"/>
      <c r="AD31" s="1034"/>
      <c r="AE31" s="1035"/>
      <c r="AF31" s="1033">
        <v>11</v>
      </c>
      <c r="AG31" s="1034"/>
      <c r="AH31" s="1034"/>
      <c r="AI31" s="1034"/>
      <c r="AJ31" s="1035"/>
      <c r="AK31" s="978">
        <v>4</v>
      </c>
      <c r="AL31" s="969"/>
      <c r="AM31" s="969"/>
      <c r="AN31" s="969"/>
      <c r="AO31" s="969"/>
      <c r="AP31" s="969" t="s">
        <v>532</v>
      </c>
      <c r="AQ31" s="969"/>
      <c r="AR31" s="969"/>
      <c r="AS31" s="969"/>
      <c r="AT31" s="969"/>
      <c r="AU31" s="969" t="s">
        <v>532</v>
      </c>
      <c r="AV31" s="969"/>
      <c r="AW31" s="969"/>
      <c r="AX31" s="969"/>
      <c r="AY31" s="969"/>
      <c r="AZ31" s="1038" t="s">
        <v>532</v>
      </c>
      <c r="BA31" s="1038"/>
      <c r="BB31" s="1038"/>
      <c r="BC31" s="1038"/>
      <c r="BD31" s="1038"/>
      <c r="BE31" s="1022"/>
      <c r="BF31" s="1022"/>
      <c r="BG31" s="1022"/>
      <c r="BH31" s="1022"/>
      <c r="BI31" s="1023"/>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97"/>
    </row>
    <row r="32" spans="1:131" s="198" customFormat="1" ht="25.5" customHeight="1">
      <c r="A32" s="217">
        <v>5</v>
      </c>
      <c r="B32" s="1027" t="s">
        <v>385</v>
      </c>
      <c r="C32" s="1028"/>
      <c r="D32" s="1028"/>
      <c r="E32" s="1028"/>
      <c r="F32" s="1028"/>
      <c r="G32" s="1028"/>
      <c r="H32" s="1028"/>
      <c r="I32" s="1028"/>
      <c r="J32" s="1028"/>
      <c r="K32" s="1028"/>
      <c r="L32" s="1028"/>
      <c r="M32" s="1028"/>
      <c r="N32" s="1028"/>
      <c r="O32" s="1028"/>
      <c r="P32" s="1029"/>
      <c r="Q32" s="1039">
        <v>2259</v>
      </c>
      <c r="R32" s="1040"/>
      <c r="S32" s="1040"/>
      <c r="T32" s="1040"/>
      <c r="U32" s="1040"/>
      <c r="V32" s="1040">
        <v>2438</v>
      </c>
      <c r="W32" s="1040"/>
      <c r="X32" s="1040"/>
      <c r="Y32" s="1040"/>
      <c r="Z32" s="1040"/>
      <c r="AA32" s="1040">
        <v>-179</v>
      </c>
      <c r="AB32" s="1040"/>
      <c r="AC32" s="1040"/>
      <c r="AD32" s="1040"/>
      <c r="AE32" s="1041"/>
      <c r="AF32" s="1033">
        <v>1579</v>
      </c>
      <c r="AG32" s="1034"/>
      <c r="AH32" s="1034"/>
      <c r="AI32" s="1034"/>
      <c r="AJ32" s="1035"/>
      <c r="AK32" s="978">
        <v>41</v>
      </c>
      <c r="AL32" s="969"/>
      <c r="AM32" s="969"/>
      <c r="AN32" s="969"/>
      <c r="AO32" s="969"/>
      <c r="AP32" s="969">
        <f>ROUND(4477521/1000,0)</f>
        <v>4478</v>
      </c>
      <c r="AQ32" s="969"/>
      <c r="AR32" s="969"/>
      <c r="AS32" s="969"/>
      <c r="AT32" s="969"/>
      <c r="AU32" s="969">
        <f>ROUND(94027/1000,0)</f>
        <v>94</v>
      </c>
      <c r="AV32" s="969"/>
      <c r="AW32" s="969"/>
      <c r="AX32" s="969"/>
      <c r="AY32" s="969"/>
      <c r="AZ32" s="1038" t="s">
        <v>532</v>
      </c>
      <c r="BA32" s="1038"/>
      <c r="BB32" s="1038"/>
      <c r="BC32" s="1038"/>
      <c r="BD32" s="1038"/>
      <c r="BE32" s="1022" t="s">
        <v>386</v>
      </c>
      <c r="BF32" s="1022"/>
      <c r="BG32" s="1022"/>
      <c r="BH32" s="1022"/>
      <c r="BI32" s="1023"/>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97"/>
    </row>
    <row r="33" spans="1:131" s="198" customFormat="1" ht="26.25" customHeight="1">
      <c r="A33" s="217">
        <v>6</v>
      </c>
      <c r="B33" s="1027" t="s">
        <v>387</v>
      </c>
      <c r="C33" s="1028"/>
      <c r="D33" s="1028"/>
      <c r="E33" s="1028"/>
      <c r="F33" s="1028"/>
      <c r="G33" s="1028"/>
      <c r="H33" s="1028"/>
      <c r="I33" s="1028"/>
      <c r="J33" s="1028"/>
      <c r="K33" s="1028"/>
      <c r="L33" s="1028"/>
      <c r="M33" s="1028"/>
      <c r="N33" s="1028"/>
      <c r="O33" s="1028"/>
      <c r="P33" s="1029"/>
      <c r="Q33" s="1039">
        <f>ROUND(2883937/1000,0)</f>
        <v>2884</v>
      </c>
      <c r="R33" s="1040"/>
      <c r="S33" s="1040"/>
      <c r="T33" s="1040"/>
      <c r="U33" s="1040"/>
      <c r="V33" s="1040">
        <f>ROUND(2881390/1000,0)</f>
        <v>2881</v>
      </c>
      <c r="W33" s="1040"/>
      <c r="X33" s="1040"/>
      <c r="Y33" s="1040"/>
      <c r="Z33" s="1040"/>
      <c r="AA33" s="1040">
        <v>3</v>
      </c>
      <c r="AB33" s="1040"/>
      <c r="AC33" s="1040"/>
      <c r="AD33" s="1040"/>
      <c r="AE33" s="1041"/>
      <c r="AF33" s="1033">
        <v>3</v>
      </c>
      <c r="AG33" s="1034"/>
      <c r="AH33" s="1034"/>
      <c r="AI33" s="1034"/>
      <c r="AJ33" s="1035"/>
      <c r="AK33" s="978">
        <v>982</v>
      </c>
      <c r="AL33" s="969"/>
      <c r="AM33" s="969"/>
      <c r="AN33" s="969"/>
      <c r="AO33" s="969"/>
      <c r="AP33" s="969">
        <f>ROUND(20739600/1000,0)</f>
        <v>20740</v>
      </c>
      <c r="AQ33" s="969"/>
      <c r="AR33" s="969"/>
      <c r="AS33" s="969"/>
      <c r="AT33" s="969"/>
      <c r="AU33" s="969">
        <f>ROUND(9623174/1000,0)</f>
        <v>9623</v>
      </c>
      <c r="AV33" s="969"/>
      <c r="AW33" s="969"/>
      <c r="AX33" s="969"/>
      <c r="AY33" s="969"/>
      <c r="AZ33" s="1038" t="s">
        <v>532</v>
      </c>
      <c r="BA33" s="1038"/>
      <c r="BB33" s="1038"/>
      <c r="BC33" s="1038"/>
      <c r="BD33" s="1038"/>
      <c r="BE33" s="1022" t="s">
        <v>388</v>
      </c>
      <c r="BF33" s="1022"/>
      <c r="BG33" s="1022"/>
      <c r="BH33" s="1022"/>
      <c r="BI33" s="1023"/>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8"/>
      <c r="AL34" s="969"/>
      <c r="AM34" s="969"/>
      <c r="AN34" s="969"/>
      <c r="AO34" s="969"/>
      <c r="AP34" s="969"/>
      <c r="AQ34" s="969"/>
      <c r="AR34" s="969"/>
      <c r="AS34" s="969"/>
      <c r="AT34" s="969"/>
      <c r="AU34" s="969"/>
      <c r="AV34" s="969"/>
      <c r="AW34" s="969"/>
      <c r="AX34" s="969"/>
      <c r="AY34" s="969"/>
      <c r="AZ34" s="1038"/>
      <c r="BA34" s="1038"/>
      <c r="BB34" s="1038"/>
      <c r="BC34" s="1038"/>
      <c r="BD34" s="1038"/>
      <c r="BE34" s="1022"/>
      <c r="BF34" s="1022"/>
      <c r="BG34" s="1022"/>
      <c r="BH34" s="1022"/>
      <c r="BI34" s="1023"/>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8"/>
      <c r="AL35" s="969"/>
      <c r="AM35" s="969"/>
      <c r="AN35" s="969"/>
      <c r="AO35" s="969"/>
      <c r="AP35" s="969"/>
      <c r="AQ35" s="969"/>
      <c r="AR35" s="969"/>
      <c r="AS35" s="969"/>
      <c r="AT35" s="969"/>
      <c r="AU35" s="969"/>
      <c r="AV35" s="969"/>
      <c r="AW35" s="969"/>
      <c r="AX35" s="969"/>
      <c r="AY35" s="969"/>
      <c r="AZ35" s="1038"/>
      <c r="BA35" s="1038"/>
      <c r="BB35" s="1038"/>
      <c r="BC35" s="1038"/>
      <c r="BD35" s="1038"/>
      <c r="BE35" s="1022"/>
      <c r="BF35" s="1022"/>
      <c r="BG35" s="1022"/>
      <c r="BH35" s="1022"/>
      <c r="BI35" s="1023"/>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8"/>
      <c r="AL36" s="969"/>
      <c r="AM36" s="969"/>
      <c r="AN36" s="969"/>
      <c r="AO36" s="969"/>
      <c r="AP36" s="969"/>
      <c r="AQ36" s="969"/>
      <c r="AR36" s="969"/>
      <c r="AS36" s="969"/>
      <c r="AT36" s="969"/>
      <c r="AU36" s="969"/>
      <c r="AV36" s="969"/>
      <c r="AW36" s="969"/>
      <c r="AX36" s="969"/>
      <c r="AY36" s="969"/>
      <c r="AZ36" s="1038"/>
      <c r="BA36" s="1038"/>
      <c r="BB36" s="1038"/>
      <c r="BC36" s="1038"/>
      <c r="BD36" s="1038"/>
      <c r="BE36" s="1022"/>
      <c r="BF36" s="1022"/>
      <c r="BG36" s="1022"/>
      <c r="BH36" s="1022"/>
      <c r="BI36" s="1023"/>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8"/>
      <c r="AL37" s="969"/>
      <c r="AM37" s="969"/>
      <c r="AN37" s="969"/>
      <c r="AO37" s="969"/>
      <c r="AP37" s="969"/>
      <c r="AQ37" s="969"/>
      <c r="AR37" s="969"/>
      <c r="AS37" s="969"/>
      <c r="AT37" s="969"/>
      <c r="AU37" s="969"/>
      <c r="AV37" s="969"/>
      <c r="AW37" s="969"/>
      <c r="AX37" s="969"/>
      <c r="AY37" s="969"/>
      <c r="AZ37" s="1038"/>
      <c r="BA37" s="1038"/>
      <c r="BB37" s="1038"/>
      <c r="BC37" s="1038"/>
      <c r="BD37" s="1038"/>
      <c r="BE37" s="1022"/>
      <c r="BF37" s="1022"/>
      <c r="BG37" s="1022"/>
      <c r="BH37" s="1022"/>
      <c r="BI37" s="1023"/>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8"/>
      <c r="AL38" s="969"/>
      <c r="AM38" s="969"/>
      <c r="AN38" s="969"/>
      <c r="AO38" s="969"/>
      <c r="AP38" s="969"/>
      <c r="AQ38" s="969"/>
      <c r="AR38" s="969"/>
      <c r="AS38" s="969"/>
      <c r="AT38" s="969"/>
      <c r="AU38" s="969"/>
      <c r="AV38" s="969"/>
      <c r="AW38" s="969"/>
      <c r="AX38" s="969"/>
      <c r="AY38" s="969"/>
      <c r="AZ38" s="1038"/>
      <c r="BA38" s="1038"/>
      <c r="BB38" s="1038"/>
      <c r="BC38" s="1038"/>
      <c r="BD38" s="1038"/>
      <c r="BE38" s="1022"/>
      <c r="BF38" s="1022"/>
      <c r="BG38" s="1022"/>
      <c r="BH38" s="1022"/>
      <c r="BI38" s="1023"/>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8"/>
      <c r="AL39" s="969"/>
      <c r="AM39" s="969"/>
      <c r="AN39" s="969"/>
      <c r="AO39" s="969"/>
      <c r="AP39" s="969"/>
      <c r="AQ39" s="969"/>
      <c r="AR39" s="969"/>
      <c r="AS39" s="969"/>
      <c r="AT39" s="969"/>
      <c r="AU39" s="969"/>
      <c r="AV39" s="969"/>
      <c r="AW39" s="969"/>
      <c r="AX39" s="969"/>
      <c r="AY39" s="969"/>
      <c r="AZ39" s="1038"/>
      <c r="BA39" s="1038"/>
      <c r="BB39" s="1038"/>
      <c r="BC39" s="1038"/>
      <c r="BD39" s="1038"/>
      <c r="BE39" s="1022"/>
      <c r="BF39" s="1022"/>
      <c r="BG39" s="1022"/>
      <c r="BH39" s="1022"/>
      <c r="BI39" s="1023"/>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8"/>
      <c r="AL40" s="969"/>
      <c r="AM40" s="969"/>
      <c r="AN40" s="969"/>
      <c r="AO40" s="969"/>
      <c r="AP40" s="969"/>
      <c r="AQ40" s="969"/>
      <c r="AR40" s="969"/>
      <c r="AS40" s="969"/>
      <c r="AT40" s="969"/>
      <c r="AU40" s="969"/>
      <c r="AV40" s="969"/>
      <c r="AW40" s="969"/>
      <c r="AX40" s="969"/>
      <c r="AY40" s="969"/>
      <c r="AZ40" s="1038"/>
      <c r="BA40" s="1038"/>
      <c r="BB40" s="1038"/>
      <c r="BC40" s="1038"/>
      <c r="BD40" s="1038"/>
      <c r="BE40" s="1022"/>
      <c r="BF40" s="1022"/>
      <c r="BG40" s="1022"/>
      <c r="BH40" s="1022"/>
      <c r="BI40" s="1023"/>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8"/>
      <c r="AL41" s="969"/>
      <c r="AM41" s="969"/>
      <c r="AN41" s="969"/>
      <c r="AO41" s="969"/>
      <c r="AP41" s="969"/>
      <c r="AQ41" s="969"/>
      <c r="AR41" s="969"/>
      <c r="AS41" s="969"/>
      <c r="AT41" s="969"/>
      <c r="AU41" s="969"/>
      <c r="AV41" s="969"/>
      <c r="AW41" s="969"/>
      <c r="AX41" s="969"/>
      <c r="AY41" s="969"/>
      <c r="AZ41" s="1038"/>
      <c r="BA41" s="1038"/>
      <c r="BB41" s="1038"/>
      <c r="BC41" s="1038"/>
      <c r="BD41" s="1038"/>
      <c r="BE41" s="1022"/>
      <c r="BF41" s="1022"/>
      <c r="BG41" s="1022"/>
      <c r="BH41" s="1022"/>
      <c r="BI41" s="1023"/>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8"/>
      <c r="AL42" s="969"/>
      <c r="AM42" s="969"/>
      <c r="AN42" s="969"/>
      <c r="AO42" s="969"/>
      <c r="AP42" s="969"/>
      <c r="AQ42" s="969"/>
      <c r="AR42" s="969"/>
      <c r="AS42" s="969"/>
      <c r="AT42" s="969"/>
      <c r="AU42" s="969"/>
      <c r="AV42" s="969"/>
      <c r="AW42" s="969"/>
      <c r="AX42" s="969"/>
      <c r="AY42" s="969"/>
      <c r="AZ42" s="1038"/>
      <c r="BA42" s="1038"/>
      <c r="BB42" s="1038"/>
      <c r="BC42" s="1038"/>
      <c r="BD42" s="1038"/>
      <c r="BE42" s="1022"/>
      <c r="BF42" s="1022"/>
      <c r="BG42" s="1022"/>
      <c r="BH42" s="1022"/>
      <c r="BI42" s="1023"/>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8"/>
      <c r="AL43" s="969"/>
      <c r="AM43" s="969"/>
      <c r="AN43" s="969"/>
      <c r="AO43" s="969"/>
      <c r="AP43" s="969"/>
      <c r="AQ43" s="969"/>
      <c r="AR43" s="969"/>
      <c r="AS43" s="969"/>
      <c r="AT43" s="969"/>
      <c r="AU43" s="969"/>
      <c r="AV43" s="969"/>
      <c r="AW43" s="969"/>
      <c r="AX43" s="969"/>
      <c r="AY43" s="969"/>
      <c r="AZ43" s="1038"/>
      <c r="BA43" s="1038"/>
      <c r="BB43" s="1038"/>
      <c r="BC43" s="1038"/>
      <c r="BD43" s="1038"/>
      <c r="BE43" s="1022"/>
      <c r="BF43" s="1022"/>
      <c r="BG43" s="1022"/>
      <c r="BH43" s="1022"/>
      <c r="BI43" s="1023"/>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8"/>
      <c r="AL44" s="969"/>
      <c r="AM44" s="969"/>
      <c r="AN44" s="969"/>
      <c r="AO44" s="969"/>
      <c r="AP44" s="969"/>
      <c r="AQ44" s="969"/>
      <c r="AR44" s="969"/>
      <c r="AS44" s="969"/>
      <c r="AT44" s="969"/>
      <c r="AU44" s="969"/>
      <c r="AV44" s="969"/>
      <c r="AW44" s="969"/>
      <c r="AX44" s="969"/>
      <c r="AY44" s="969"/>
      <c r="AZ44" s="1038"/>
      <c r="BA44" s="1038"/>
      <c r="BB44" s="1038"/>
      <c r="BC44" s="1038"/>
      <c r="BD44" s="1038"/>
      <c r="BE44" s="1022"/>
      <c r="BF44" s="1022"/>
      <c r="BG44" s="1022"/>
      <c r="BH44" s="1022"/>
      <c r="BI44" s="1023"/>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8"/>
      <c r="AL45" s="969"/>
      <c r="AM45" s="969"/>
      <c r="AN45" s="969"/>
      <c r="AO45" s="969"/>
      <c r="AP45" s="969"/>
      <c r="AQ45" s="969"/>
      <c r="AR45" s="969"/>
      <c r="AS45" s="969"/>
      <c r="AT45" s="969"/>
      <c r="AU45" s="969"/>
      <c r="AV45" s="969"/>
      <c r="AW45" s="969"/>
      <c r="AX45" s="969"/>
      <c r="AY45" s="969"/>
      <c r="AZ45" s="1038"/>
      <c r="BA45" s="1038"/>
      <c r="BB45" s="1038"/>
      <c r="BC45" s="1038"/>
      <c r="BD45" s="1038"/>
      <c r="BE45" s="1022"/>
      <c r="BF45" s="1022"/>
      <c r="BG45" s="1022"/>
      <c r="BH45" s="1022"/>
      <c r="BI45" s="1023"/>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8"/>
      <c r="AL46" s="969"/>
      <c r="AM46" s="969"/>
      <c r="AN46" s="969"/>
      <c r="AO46" s="969"/>
      <c r="AP46" s="969"/>
      <c r="AQ46" s="969"/>
      <c r="AR46" s="969"/>
      <c r="AS46" s="969"/>
      <c r="AT46" s="969"/>
      <c r="AU46" s="969"/>
      <c r="AV46" s="969"/>
      <c r="AW46" s="969"/>
      <c r="AX46" s="969"/>
      <c r="AY46" s="969"/>
      <c r="AZ46" s="1038"/>
      <c r="BA46" s="1038"/>
      <c r="BB46" s="1038"/>
      <c r="BC46" s="1038"/>
      <c r="BD46" s="1038"/>
      <c r="BE46" s="1022"/>
      <c r="BF46" s="1022"/>
      <c r="BG46" s="1022"/>
      <c r="BH46" s="1022"/>
      <c r="BI46" s="1023"/>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8"/>
      <c r="AL47" s="969"/>
      <c r="AM47" s="969"/>
      <c r="AN47" s="969"/>
      <c r="AO47" s="969"/>
      <c r="AP47" s="969"/>
      <c r="AQ47" s="969"/>
      <c r="AR47" s="969"/>
      <c r="AS47" s="969"/>
      <c r="AT47" s="969"/>
      <c r="AU47" s="969"/>
      <c r="AV47" s="969"/>
      <c r="AW47" s="969"/>
      <c r="AX47" s="969"/>
      <c r="AY47" s="969"/>
      <c r="AZ47" s="1038"/>
      <c r="BA47" s="1038"/>
      <c r="BB47" s="1038"/>
      <c r="BC47" s="1038"/>
      <c r="BD47" s="1038"/>
      <c r="BE47" s="1022"/>
      <c r="BF47" s="1022"/>
      <c r="BG47" s="1022"/>
      <c r="BH47" s="1022"/>
      <c r="BI47" s="1023"/>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8"/>
      <c r="AL48" s="969"/>
      <c r="AM48" s="969"/>
      <c r="AN48" s="969"/>
      <c r="AO48" s="969"/>
      <c r="AP48" s="969"/>
      <c r="AQ48" s="969"/>
      <c r="AR48" s="969"/>
      <c r="AS48" s="969"/>
      <c r="AT48" s="969"/>
      <c r="AU48" s="969"/>
      <c r="AV48" s="969"/>
      <c r="AW48" s="969"/>
      <c r="AX48" s="969"/>
      <c r="AY48" s="969"/>
      <c r="AZ48" s="1038"/>
      <c r="BA48" s="1038"/>
      <c r="BB48" s="1038"/>
      <c r="BC48" s="1038"/>
      <c r="BD48" s="1038"/>
      <c r="BE48" s="1022"/>
      <c r="BF48" s="1022"/>
      <c r="BG48" s="1022"/>
      <c r="BH48" s="1022"/>
      <c r="BI48" s="1023"/>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8"/>
      <c r="AL49" s="969"/>
      <c r="AM49" s="969"/>
      <c r="AN49" s="969"/>
      <c r="AO49" s="969"/>
      <c r="AP49" s="969"/>
      <c r="AQ49" s="969"/>
      <c r="AR49" s="969"/>
      <c r="AS49" s="969"/>
      <c r="AT49" s="969"/>
      <c r="AU49" s="969"/>
      <c r="AV49" s="969"/>
      <c r="AW49" s="969"/>
      <c r="AX49" s="969"/>
      <c r="AY49" s="969"/>
      <c r="AZ49" s="1038"/>
      <c r="BA49" s="1038"/>
      <c r="BB49" s="1038"/>
      <c r="BC49" s="1038"/>
      <c r="BD49" s="1038"/>
      <c r="BE49" s="1022"/>
      <c r="BF49" s="1022"/>
      <c r="BG49" s="1022"/>
      <c r="BH49" s="1022"/>
      <c r="BI49" s="1023"/>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97"/>
    </row>
    <row r="63" spans="1:131" s="198" customFormat="1" ht="26.25" customHeight="1" thickBot="1">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960"/>
      <c r="AF63" s="1020">
        <v>2128</v>
      </c>
      <c r="AG63" s="946"/>
      <c r="AH63" s="946"/>
      <c r="AI63" s="946"/>
      <c r="AJ63" s="1021"/>
      <c r="AK63" s="961"/>
      <c r="AL63" s="959"/>
      <c r="AM63" s="959"/>
      <c r="AN63" s="959"/>
      <c r="AO63" s="959"/>
      <c r="AP63" s="946">
        <f>ROUND((4477521+20739600)/1000,0)</f>
        <v>25217</v>
      </c>
      <c r="AQ63" s="946"/>
      <c r="AR63" s="946"/>
      <c r="AS63" s="946"/>
      <c r="AT63" s="946"/>
      <c r="AU63" s="946">
        <f>ROUND((94027+9623174)/1000,0)</f>
        <v>9717</v>
      </c>
      <c r="AV63" s="946"/>
      <c r="AW63" s="946"/>
      <c r="AX63" s="946"/>
      <c r="AY63" s="946"/>
      <c r="AZ63" s="1017"/>
      <c r="BA63" s="1017"/>
      <c r="BB63" s="1017"/>
      <c r="BC63" s="1017"/>
      <c r="BD63" s="1017"/>
      <c r="BE63" s="956"/>
      <c r="BF63" s="956"/>
      <c r="BG63" s="956"/>
      <c r="BH63" s="956"/>
      <c r="BI63" s="957"/>
      <c r="BJ63" s="1018" t="s">
        <v>112</v>
      </c>
      <c r="BK63" s="948"/>
      <c r="BL63" s="948"/>
      <c r="BM63" s="948"/>
      <c r="BN63" s="1019"/>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97"/>
    </row>
    <row r="66" spans="1:131" s="198" customFormat="1" ht="26.25" customHeight="1">
      <c r="A66" s="993" t="s">
        <v>392</v>
      </c>
      <c r="B66" s="994"/>
      <c r="C66" s="994"/>
      <c r="D66" s="994"/>
      <c r="E66" s="994"/>
      <c r="F66" s="994"/>
      <c r="G66" s="994"/>
      <c r="H66" s="994"/>
      <c r="I66" s="994"/>
      <c r="J66" s="994"/>
      <c r="K66" s="994"/>
      <c r="L66" s="994"/>
      <c r="M66" s="994"/>
      <c r="N66" s="994"/>
      <c r="O66" s="994"/>
      <c r="P66" s="995"/>
      <c r="Q66" s="999" t="s">
        <v>373</v>
      </c>
      <c r="R66" s="1000"/>
      <c r="S66" s="1000"/>
      <c r="T66" s="1000"/>
      <c r="U66" s="1001"/>
      <c r="V66" s="999" t="s">
        <v>374</v>
      </c>
      <c r="W66" s="1000"/>
      <c r="X66" s="1000"/>
      <c r="Y66" s="1000"/>
      <c r="Z66" s="1001"/>
      <c r="AA66" s="999" t="s">
        <v>375</v>
      </c>
      <c r="AB66" s="1000"/>
      <c r="AC66" s="1000"/>
      <c r="AD66" s="1000"/>
      <c r="AE66" s="1001"/>
      <c r="AF66" s="1005" t="s">
        <v>376</v>
      </c>
      <c r="AG66" s="1006"/>
      <c r="AH66" s="1006"/>
      <c r="AI66" s="1006"/>
      <c r="AJ66" s="1007"/>
      <c r="AK66" s="999" t="s">
        <v>377</v>
      </c>
      <c r="AL66" s="994"/>
      <c r="AM66" s="994"/>
      <c r="AN66" s="994"/>
      <c r="AO66" s="995"/>
      <c r="AP66" s="999" t="s">
        <v>378</v>
      </c>
      <c r="AQ66" s="1000"/>
      <c r="AR66" s="1000"/>
      <c r="AS66" s="1000"/>
      <c r="AT66" s="1001"/>
      <c r="AU66" s="999" t="s">
        <v>393</v>
      </c>
      <c r="AV66" s="1000"/>
      <c r="AW66" s="1000"/>
      <c r="AX66" s="1000"/>
      <c r="AY66" s="1001"/>
      <c r="AZ66" s="999" t="s">
        <v>356</v>
      </c>
      <c r="BA66" s="1000"/>
      <c r="BB66" s="1000"/>
      <c r="BC66" s="1000"/>
      <c r="BD66" s="1015"/>
      <c r="BE66" s="216"/>
      <c r="BF66" s="216"/>
      <c r="BG66" s="216"/>
      <c r="BH66" s="216"/>
      <c r="BI66" s="216"/>
      <c r="BJ66" s="216"/>
      <c r="BK66" s="216"/>
      <c r="BL66" s="216"/>
      <c r="BM66" s="216"/>
      <c r="BN66" s="216"/>
      <c r="BO66" s="216"/>
      <c r="BP66" s="216"/>
      <c r="BQ66" s="213">
        <v>60</v>
      </c>
      <c r="BR66" s="218"/>
      <c r="BS66" s="950"/>
      <c r="BT66" s="951"/>
      <c r="BU66" s="951"/>
      <c r="BV66" s="951"/>
      <c r="BW66" s="951"/>
      <c r="BX66" s="951"/>
      <c r="BY66" s="951"/>
      <c r="BZ66" s="951"/>
      <c r="CA66" s="951"/>
      <c r="CB66" s="951"/>
      <c r="CC66" s="951"/>
      <c r="CD66" s="951"/>
      <c r="CE66" s="951"/>
      <c r="CF66" s="951"/>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37"/>
      <c r="DW66" s="938"/>
      <c r="DX66" s="938"/>
      <c r="DY66" s="938"/>
      <c r="DZ66" s="939"/>
      <c r="EA66" s="197"/>
    </row>
    <row r="67" spans="1:131" s="198" customFormat="1" ht="26.25" customHeight="1" thickBot="1">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16"/>
      <c r="BF67" s="216"/>
      <c r="BG67" s="216"/>
      <c r="BH67" s="216"/>
      <c r="BI67" s="216"/>
      <c r="BJ67" s="216"/>
      <c r="BK67" s="216"/>
      <c r="BL67" s="216"/>
      <c r="BM67" s="216"/>
      <c r="BN67" s="216"/>
      <c r="BO67" s="216"/>
      <c r="BP67" s="216"/>
      <c r="BQ67" s="213">
        <v>61</v>
      </c>
      <c r="BR67" s="218"/>
      <c r="BS67" s="950"/>
      <c r="BT67" s="951"/>
      <c r="BU67" s="951"/>
      <c r="BV67" s="951"/>
      <c r="BW67" s="951"/>
      <c r="BX67" s="951"/>
      <c r="BY67" s="951"/>
      <c r="BZ67" s="951"/>
      <c r="CA67" s="951"/>
      <c r="CB67" s="951"/>
      <c r="CC67" s="951"/>
      <c r="CD67" s="951"/>
      <c r="CE67" s="951"/>
      <c r="CF67" s="951"/>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37"/>
      <c r="DW67" s="938"/>
      <c r="DX67" s="938"/>
      <c r="DY67" s="938"/>
      <c r="DZ67" s="939"/>
      <c r="EA67" s="197"/>
    </row>
    <row r="68" spans="1:131" s="198" customFormat="1" ht="26.25" customHeight="1" thickTop="1">
      <c r="A68" s="209">
        <v>1</v>
      </c>
      <c r="B68" s="983" t="s">
        <v>533</v>
      </c>
      <c r="C68" s="984"/>
      <c r="D68" s="984"/>
      <c r="E68" s="984"/>
      <c r="F68" s="984"/>
      <c r="G68" s="984"/>
      <c r="H68" s="984"/>
      <c r="I68" s="984"/>
      <c r="J68" s="984"/>
      <c r="K68" s="984"/>
      <c r="L68" s="984"/>
      <c r="M68" s="984"/>
      <c r="N68" s="984"/>
      <c r="O68" s="984"/>
      <c r="P68" s="985"/>
      <c r="Q68" s="986">
        <f>ROUND(2095658/1000,0)-1</f>
        <v>2095</v>
      </c>
      <c r="R68" s="980"/>
      <c r="S68" s="980"/>
      <c r="T68" s="980"/>
      <c r="U68" s="980"/>
      <c r="V68" s="980">
        <f>ROUND(2082185/1000,0)</f>
        <v>2082</v>
      </c>
      <c r="W68" s="980"/>
      <c r="X68" s="980"/>
      <c r="Y68" s="980"/>
      <c r="Z68" s="980"/>
      <c r="AA68" s="980">
        <f>ROUND(Q68-V68,0)</f>
        <v>13</v>
      </c>
      <c r="AB68" s="980"/>
      <c r="AC68" s="980"/>
      <c r="AD68" s="980"/>
      <c r="AE68" s="980"/>
      <c r="AF68" s="980">
        <f>ROUND(13473/1000,0)</f>
        <v>13</v>
      </c>
      <c r="AG68" s="980"/>
      <c r="AH68" s="980"/>
      <c r="AI68" s="980"/>
      <c r="AJ68" s="980"/>
      <c r="AK68" s="980">
        <f>ROUND(10000/1000,0)</f>
        <v>10</v>
      </c>
      <c r="AL68" s="980"/>
      <c r="AM68" s="980"/>
      <c r="AN68" s="980"/>
      <c r="AO68" s="980"/>
      <c r="AP68" s="980">
        <f>ROUND(1648540/1000,0)</f>
        <v>1649</v>
      </c>
      <c r="AQ68" s="980"/>
      <c r="AR68" s="980"/>
      <c r="AS68" s="980"/>
      <c r="AT68" s="980"/>
      <c r="AU68" s="980">
        <f>ROUND(881969/1000,0)</f>
        <v>882</v>
      </c>
      <c r="AV68" s="980"/>
      <c r="AW68" s="980"/>
      <c r="AX68" s="980"/>
      <c r="AY68" s="980"/>
      <c r="AZ68" s="981"/>
      <c r="BA68" s="981"/>
      <c r="BB68" s="981"/>
      <c r="BC68" s="981"/>
      <c r="BD68" s="982"/>
      <c r="BE68" s="216"/>
      <c r="BF68" s="216"/>
      <c r="BG68" s="216"/>
      <c r="BH68" s="216"/>
      <c r="BI68" s="216"/>
      <c r="BJ68" s="216"/>
      <c r="BK68" s="216"/>
      <c r="BL68" s="216"/>
      <c r="BM68" s="216"/>
      <c r="BN68" s="216"/>
      <c r="BO68" s="216"/>
      <c r="BP68" s="216"/>
      <c r="BQ68" s="213">
        <v>62</v>
      </c>
      <c r="BR68" s="218"/>
      <c r="BS68" s="950"/>
      <c r="BT68" s="951"/>
      <c r="BU68" s="951"/>
      <c r="BV68" s="951"/>
      <c r="BW68" s="951"/>
      <c r="BX68" s="951"/>
      <c r="BY68" s="951"/>
      <c r="BZ68" s="951"/>
      <c r="CA68" s="951"/>
      <c r="CB68" s="951"/>
      <c r="CC68" s="951"/>
      <c r="CD68" s="951"/>
      <c r="CE68" s="951"/>
      <c r="CF68" s="951"/>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37"/>
      <c r="DW68" s="938"/>
      <c r="DX68" s="938"/>
      <c r="DY68" s="938"/>
      <c r="DZ68" s="939"/>
      <c r="EA68" s="197"/>
    </row>
    <row r="69" spans="1:131" s="198" customFormat="1" ht="26.25" customHeight="1">
      <c r="A69" s="212">
        <v>2</v>
      </c>
      <c r="B69" s="972" t="s">
        <v>534</v>
      </c>
      <c r="C69" s="973"/>
      <c r="D69" s="973"/>
      <c r="E69" s="973"/>
      <c r="F69" s="973"/>
      <c r="G69" s="973"/>
      <c r="H69" s="973"/>
      <c r="I69" s="973"/>
      <c r="J69" s="973"/>
      <c r="K69" s="973"/>
      <c r="L69" s="973"/>
      <c r="M69" s="973"/>
      <c r="N69" s="973"/>
      <c r="O69" s="973"/>
      <c r="P69" s="974"/>
      <c r="Q69" s="976">
        <f>ROUND(10320/1000,0)</f>
        <v>10</v>
      </c>
      <c r="R69" s="977"/>
      <c r="S69" s="977"/>
      <c r="T69" s="977"/>
      <c r="U69" s="978"/>
      <c r="V69" s="969">
        <f>ROUND(8613/1000,0)</f>
        <v>9</v>
      </c>
      <c r="W69" s="969"/>
      <c r="X69" s="969"/>
      <c r="Y69" s="969"/>
      <c r="Z69" s="969"/>
      <c r="AA69" s="969">
        <f>ROUND(1707/1000,0)</f>
        <v>2</v>
      </c>
      <c r="AB69" s="969"/>
      <c r="AC69" s="969"/>
      <c r="AD69" s="969"/>
      <c r="AE69" s="969"/>
      <c r="AF69" s="969">
        <f>ROUND(1707/1000,0)</f>
        <v>2</v>
      </c>
      <c r="AG69" s="969"/>
      <c r="AH69" s="969"/>
      <c r="AI69" s="969"/>
      <c r="AJ69" s="969"/>
      <c r="AK69" s="969" t="s">
        <v>543</v>
      </c>
      <c r="AL69" s="969"/>
      <c r="AM69" s="969"/>
      <c r="AN69" s="969"/>
      <c r="AO69" s="969"/>
      <c r="AP69" s="969" t="s">
        <v>543</v>
      </c>
      <c r="AQ69" s="969"/>
      <c r="AR69" s="969"/>
      <c r="AS69" s="969"/>
      <c r="AT69" s="969"/>
      <c r="AU69" s="969" t="s">
        <v>543</v>
      </c>
      <c r="AV69" s="969"/>
      <c r="AW69" s="969"/>
      <c r="AX69" s="969"/>
      <c r="AY69" s="969"/>
      <c r="AZ69" s="970"/>
      <c r="BA69" s="970"/>
      <c r="BB69" s="970"/>
      <c r="BC69" s="970"/>
      <c r="BD69" s="971"/>
      <c r="BE69" s="216"/>
      <c r="BF69" s="216"/>
      <c r="BG69" s="216"/>
      <c r="BH69" s="216"/>
      <c r="BI69" s="216"/>
      <c r="BJ69" s="216"/>
      <c r="BK69" s="216"/>
      <c r="BL69" s="216"/>
      <c r="BM69" s="216"/>
      <c r="BN69" s="216"/>
      <c r="BO69" s="216"/>
      <c r="BP69" s="216"/>
      <c r="BQ69" s="213">
        <v>63</v>
      </c>
      <c r="BR69" s="218"/>
      <c r="BS69" s="950"/>
      <c r="BT69" s="951"/>
      <c r="BU69" s="951"/>
      <c r="BV69" s="951"/>
      <c r="BW69" s="951"/>
      <c r="BX69" s="951"/>
      <c r="BY69" s="951"/>
      <c r="BZ69" s="951"/>
      <c r="CA69" s="951"/>
      <c r="CB69" s="951"/>
      <c r="CC69" s="951"/>
      <c r="CD69" s="951"/>
      <c r="CE69" s="951"/>
      <c r="CF69" s="951"/>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37"/>
      <c r="DW69" s="938"/>
      <c r="DX69" s="938"/>
      <c r="DY69" s="938"/>
      <c r="DZ69" s="939"/>
      <c r="EA69" s="197"/>
    </row>
    <row r="70" spans="1:131" s="198" customFormat="1" ht="26.25" customHeight="1">
      <c r="A70" s="212">
        <v>3</v>
      </c>
      <c r="B70" s="972" t="s">
        <v>535</v>
      </c>
      <c r="C70" s="973"/>
      <c r="D70" s="973"/>
      <c r="E70" s="973"/>
      <c r="F70" s="973"/>
      <c r="G70" s="973"/>
      <c r="H70" s="973"/>
      <c r="I70" s="973"/>
      <c r="J70" s="973"/>
      <c r="K70" s="973"/>
      <c r="L70" s="973"/>
      <c r="M70" s="973"/>
      <c r="N70" s="973"/>
      <c r="O70" s="973"/>
      <c r="P70" s="974"/>
      <c r="Q70" s="975">
        <f>ROUND(393608/1000,0)</f>
        <v>394</v>
      </c>
      <c r="R70" s="969"/>
      <c r="S70" s="969"/>
      <c r="T70" s="969"/>
      <c r="U70" s="969"/>
      <c r="V70" s="969">
        <f>ROUND(391186/1000,0)</f>
        <v>391</v>
      </c>
      <c r="W70" s="969"/>
      <c r="X70" s="969"/>
      <c r="Y70" s="969"/>
      <c r="Z70" s="969"/>
      <c r="AA70" s="969">
        <f>ROUND(2422/1000,0)</f>
        <v>2</v>
      </c>
      <c r="AB70" s="969"/>
      <c r="AC70" s="969"/>
      <c r="AD70" s="969"/>
      <c r="AE70" s="969"/>
      <c r="AF70" s="969">
        <f>ROUND(2422/1000,0)</f>
        <v>2</v>
      </c>
      <c r="AG70" s="969"/>
      <c r="AH70" s="969"/>
      <c r="AI70" s="969"/>
      <c r="AJ70" s="969"/>
      <c r="AK70" s="969" t="s">
        <v>543</v>
      </c>
      <c r="AL70" s="969"/>
      <c r="AM70" s="969"/>
      <c r="AN70" s="969"/>
      <c r="AO70" s="969"/>
      <c r="AP70" s="969" t="s">
        <v>543</v>
      </c>
      <c r="AQ70" s="969"/>
      <c r="AR70" s="969"/>
      <c r="AS70" s="969"/>
      <c r="AT70" s="969"/>
      <c r="AU70" s="969" t="s">
        <v>543</v>
      </c>
      <c r="AV70" s="969"/>
      <c r="AW70" s="969"/>
      <c r="AX70" s="969"/>
      <c r="AY70" s="969"/>
      <c r="AZ70" s="970"/>
      <c r="BA70" s="970"/>
      <c r="BB70" s="970"/>
      <c r="BC70" s="970"/>
      <c r="BD70" s="971"/>
      <c r="BE70" s="216"/>
      <c r="BF70" s="216"/>
      <c r="BG70" s="216"/>
      <c r="BH70" s="216"/>
      <c r="BI70" s="216"/>
      <c r="BJ70" s="216"/>
      <c r="BK70" s="216"/>
      <c r="BL70" s="216"/>
      <c r="BM70" s="216"/>
      <c r="BN70" s="216"/>
      <c r="BO70" s="216"/>
      <c r="BP70" s="216"/>
      <c r="BQ70" s="213">
        <v>64</v>
      </c>
      <c r="BR70" s="218"/>
      <c r="BS70" s="950"/>
      <c r="BT70" s="951"/>
      <c r="BU70" s="951"/>
      <c r="BV70" s="951"/>
      <c r="BW70" s="951"/>
      <c r="BX70" s="951"/>
      <c r="BY70" s="951"/>
      <c r="BZ70" s="951"/>
      <c r="CA70" s="951"/>
      <c r="CB70" s="951"/>
      <c r="CC70" s="951"/>
      <c r="CD70" s="951"/>
      <c r="CE70" s="951"/>
      <c r="CF70" s="951"/>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37"/>
      <c r="DW70" s="938"/>
      <c r="DX70" s="938"/>
      <c r="DY70" s="938"/>
      <c r="DZ70" s="939"/>
      <c r="EA70" s="197"/>
    </row>
    <row r="71" spans="1:131" s="198" customFormat="1" ht="26.25" customHeight="1">
      <c r="A71" s="212">
        <v>4</v>
      </c>
      <c r="B71" s="972" t="s">
        <v>536</v>
      </c>
      <c r="C71" s="973"/>
      <c r="D71" s="973"/>
      <c r="E71" s="973"/>
      <c r="F71" s="973"/>
      <c r="G71" s="973"/>
      <c r="H71" s="973"/>
      <c r="I71" s="973"/>
      <c r="J71" s="973"/>
      <c r="K71" s="973"/>
      <c r="L71" s="973"/>
      <c r="M71" s="973"/>
      <c r="N71" s="973"/>
      <c r="O71" s="973"/>
      <c r="P71" s="974"/>
      <c r="Q71" s="975">
        <f>ROUND(105349/1000,0)</f>
        <v>105</v>
      </c>
      <c r="R71" s="969"/>
      <c r="S71" s="969"/>
      <c r="T71" s="969"/>
      <c r="U71" s="969"/>
      <c r="V71" s="979">
        <f>ROUND(93092/1000,0)</f>
        <v>93</v>
      </c>
      <c r="W71" s="977">
        <v>93092</v>
      </c>
      <c r="X71" s="977">
        <v>93092</v>
      </c>
      <c r="Y71" s="977">
        <v>93092</v>
      </c>
      <c r="Z71" s="978">
        <v>93092</v>
      </c>
      <c r="AA71" s="969">
        <f>ROUND(12257/1000,0)</f>
        <v>12</v>
      </c>
      <c r="AB71" s="969">
        <v>12257</v>
      </c>
      <c r="AC71" s="969">
        <v>12257</v>
      </c>
      <c r="AD71" s="969">
        <v>12257</v>
      </c>
      <c r="AE71" s="969">
        <v>12257</v>
      </c>
      <c r="AF71" s="969">
        <f>ROUND(12257/1000,0)</f>
        <v>12</v>
      </c>
      <c r="AG71" s="969">
        <v>12257</v>
      </c>
      <c r="AH71" s="969">
        <v>12257</v>
      </c>
      <c r="AI71" s="969">
        <v>12257</v>
      </c>
      <c r="AJ71" s="969">
        <v>12257</v>
      </c>
      <c r="AK71" s="969" t="s">
        <v>543</v>
      </c>
      <c r="AL71" s="969"/>
      <c r="AM71" s="969"/>
      <c r="AN71" s="969"/>
      <c r="AO71" s="969"/>
      <c r="AP71" s="969" t="s">
        <v>543</v>
      </c>
      <c r="AQ71" s="969"/>
      <c r="AR71" s="969"/>
      <c r="AS71" s="969"/>
      <c r="AT71" s="969"/>
      <c r="AU71" s="969" t="s">
        <v>543</v>
      </c>
      <c r="AV71" s="969"/>
      <c r="AW71" s="969"/>
      <c r="AX71" s="969"/>
      <c r="AY71" s="969"/>
      <c r="AZ71" s="970"/>
      <c r="BA71" s="970"/>
      <c r="BB71" s="970"/>
      <c r="BC71" s="970"/>
      <c r="BD71" s="971"/>
      <c r="BE71" s="216"/>
      <c r="BF71" s="216"/>
      <c r="BG71" s="216"/>
      <c r="BH71" s="216"/>
      <c r="BI71" s="216"/>
      <c r="BJ71" s="216"/>
      <c r="BK71" s="216"/>
      <c r="BL71" s="216"/>
      <c r="BM71" s="216"/>
      <c r="BN71" s="216"/>
      <c r="BO71" s="216"/>
      <c r="BP71" s="216"/>
      <c r="BQ71" s="213">
        <v>65</v>
      </c>
      <c r="BR71" s="218"/>
      <c r="BS71" s="950"/>
      <c r="BT71" s="951"/>
      <c r="BU71" s="951"/>
      <c r="BV71" s="951"/>
      <c r="BW71" s="951"/>
      <c r="BX71" s="951"/>
      <c r="BY71" s="951"/>
      <c r="BZ71" s="951"/>
      <c r="CA71" s="951"/>
      <c r="CB71" s="951"/>
      <c r="CC71" s="951"/>
      <c r="CD71" s="951"/>
      <c r="CE71" s="951"/>
      <c r="CF71" s="951"/>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37"/>
      <c r="DW71" s="938"/>
      <c r="DX71" s="938"/>
      <c r="DY71" s="938"/>
      <c r="DZ71" s="939"/>
      <c r="EA71" s="197"/>
    </row>
    <row r="72" spans="1:131" s="198" customFormat="1" ht="26.25" customHeight="1">
      <c r="A72" s="212">
        <v>5</v>
      </c>
      <c r="B72" s="972" t="s">
        <v>537</v>
      </c>
      <c r="C72" s="973"/>
      <c r="D72" s="973"/>
      <c r="E72" s="973"/>
      <c r="F72" s="973"/>
      <c r="G72" s="973"/>
      <c r="H72" s="973"/>
      <c r="I72" s="973"/>
      <c r="J72" s="973"/>
      <c r="K72" s="973"/>
      <c r="L72" s="973"/>
      <c r="M72" s="973"/>
      <c r="N72" s="973"/>
      <c r="O72" s="973"/>
      <c r="P72" s="974"/>
      <c r="Q72" s="976">
        <f>ROUND(37237/1000,0)</f>
        <v>37</v>
      </c>
      <c r="R72" s="977">
        <v>37237</v>
      </c>
      <c r="S72" s="977">
        <v>37237</v>
      </c>
      <c r="T72" s="977">
        <v>37237</v>
      </c>
      <c r="U72" s="978">
        <v>37237</v>
      </c>
      <c r="V72" s="969">
        <f>ROUND(57472/1000,0)</f>
        <v>57</v>
      </c>
      <c r="W72" s="969">
        <v>57472</v>
      </c>
      <c r="X72" s="969">
        <v>57472</v>
      </c>
      <c r="Y72" s="969">
        <v>57472</v>
      </c>
      <c r="Z72" s="969">
        <v>57472</v>
      </c>
      <c r="AA72" s="969">
        <f>ROUND(-20235/1000,0)</f>
        <v>-20</v>
      </c>
      <c r="AB72" s="969">
        <v>-20235</v>
      </c>
      <c r="AC72" s="969">
        <v>-20235</v>
      </c>
      <c r="AD72" s="969">
        <v>-20235</v>
      </c>
      <c r="AE72" s="969">
        <v>-20235</v>
      </c>
      <c r="AF72" s="969">
        <f>ROUND(4038/1000,0)</f>
        <v>4</v>
      </c>
      <c r="AG72" s="969">
        <v>57472</v>
      </c>
      <c r="AH72" s="969">
        <v>57472</v>
      </c>
      <c r="AI72" s="969">
        <v>57472</v>
      </c>
      <c r="AJ72" s="969">
        <v>57472</v>
      </c>
      <c r="AK72" s="969" t="s">
        <v>543</v>
      </c>
      <c r="AL72" s="969"/>
      <c r="AM72" s="969"/>
      <c r="AN72" s="969"/>
      <c r="AO72" s="969"/>
      <c r="AP72" s="969" t="s">
        <v>543</v>
      </c>
      <c r="AQ72" s="969"/>
      <c r="AR72" s="969"/>
      <c r="AS72" s="969"/>
      <c r="AT72" s="969"/>
      <c r="AU72" s="969" t="s">
        <v>543</v>
      </c>
      <c r="AV72" s="969"/>
      <c r="AW72" s="969"/>
      <c r="AX72" s="969"/>
      <c r="AY72" s="969"/>
      <c r="AZ72" s="970"/>
      <c r="BA72" s="970"/>
      <c r="BB72" s="970"/>
      <c r="BC72" s="970"/>
      <c r="BD72" s="971"/>
      <c r="BE72" s="216"/>
      <c r="BF72" s="216"/>
      <c r="BG72" s="216"/>
      <c r="BH72" s="216"/>
      <c r="BI72" s="216"/>
      <c r="BJ72" s="216"/>
      <c r="BK72" s="216"/>
      <c r="BL72" s="216"/>
      <c r="BM72" s="216"/>
      <c r="BN72" s="216"/>
      <c r="BO72" s="216"/>
      <c r="BP72" s="216"/>
      <c r="BQ72" s="213">
        <v>66</v>
      </c>
      <c r="BR72" s="218"/>
      <c r="BS72" s="950"/>
      <c r="BT72" s="951"/>
      <c r="BU72" s="951"/>
      <c r="BV72" s="951"/>
      <c r="BW72" s="951"/>
      <c r="BX72" s="951"/>
      <c r="BY72" s="951"/>
      <c r="BZ72" s="951"/>
      <c r="CA72" s="951"/>
      <c r="CB72" s="951"/>
      <c r="CC72" s="951"/>
      <c r="CD72" s="951"/>
      <c r="CE72" s="951"/>
      <c r="CF72" s="951"/>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37"/>
      <c r="DW72" s="938"/>
      <c r="DX72" s="938"/>
      <c r="DY72" s="938"/>
      <c r="DZ72" s="939"/>
      <c r="EA72" s="197"/>
    </row>
    <row r="73" spans="1:131" s="198" customFormat="1" ht="26.25" customHeight="1">
      <c r="A73" s="212">
        <v>6</v>
      </c>
      <c r="B73" s="972" t="s">
        <v>538</v>
      </c>
      <c r="C73" s="973"/>
      <c r="D73" s="973"/>
      <c r="E73" s="973"/>
      <c r="F73" s="973"/>
      <c r="G73" s="973"/>
      <c r="H73" s="973"/>
      <c r="I73" s="973"/>
      <c r="J73" s="973"/>
      <c r="K73" s="973"/>
      <c r="L73" s="973"/>
      <c r="M73" s="973"/>
      <c r="N73" s="973"/>
      <c r="O73" s="973"/>
      <c r="P73" s="974"/>
      <c r="Q73" s="976">
        <f>ROUND(862458/1000,0)</f>
        <v>862</v>
      </c>
      <c r="R73" s="977">
        <v>862458</v>
      </c>
      <c r="S73" s="977">
        <v>862458</v>
      </c>
      <c r="T73" s="977">
        <v>862458</v>
      </c>
      <c r="U73" s="978">
        <v>862458</v>
      </c>
      <c r="V73" s="969">
        <f>ROUND(107522/1000,0)</f>
        <v>108</v>
      </c>
      <c r="W73" s="969">
        <v>107522</v>
      </c>
      <c r="X73" s="969">
        <v>107522</v>
      </c>
      <c r="Y73" s="969">
        <v>107522</v>
      </c>
      <c r="Z73" s="969">
        <v>107522</v>
      </c>
      <c r="AA73" s="969">
        <f>ROUND(754936/1000,0)</f>
        <v>755</v>
      </c>
      <c r="AB73" s="969">
        <v>754936</v>
      </c>
      <c r="AC73" s="969">
        <v>754936</v>
      </c>
      <c r="AD73" s="969">
        <v>754936</v>
      </c>
      <c r="AE73" s="969">
        <v>754936</v>
      </c>
      <c r="AF73" s="969">
        <f>ROUND(730663/1000,0)</f>
        <v>731</v>
      </c>
      <c r="AG73" s="969">
        <v>107522</v>
      </c>
      <c r="AH73" s="969">
        <v>107522</v>
      </c>
      <c r="AI73" s="969">
        <v>107522</v>
      </c>
      <c r="AJ73" s="969">
        <v>107522</v>
      </c>
      <c r="AK73" s="969">
        <f>ROUND(4732/1000,0)</f>
        <v>5</v>
      </c>
      <c r="AL73" s="969">
        <v>107522</v>
      </c>
      <c r="AM73" s="969">
        <v>107522</v>
      </c>
      <c r="AN73" s="969">
        <v>107522</v>
      </c>
      <c r="AO73" s="969">
        <v>107522</v>
      </c>
      <c r="AP73" s="969">
        <f>ROUND(221721/1000,0)</f>
        <v>222</v>
      </c>
      <c r="AQ73" s="969">
        <v>107522</v>
      </c>
      <c r="AR73" s="969">
        <v>107522</v>
      </c>
      <c r="AS73" s="969">
        <v>107522</v>
      </c>
      <c r="AT73" s="969">
        <v>107522</v>
      </c>
      <c r="AU73" s="969">
        <f>ROUND(2175/1000,0)</f>
        <v>2</v>
      </c>
      <c r="AV73" s="969">
        <v>107522</v>
      </c>
      <c r="AW73" s="969">
        <v>107522</v>
      </c>
      <c r="AX73" s="969">
        <v>107522</v>
      </c>
      <c r="AY73" s="969">
        <v>107522</v>
      </c>
      <c r="AZ73" s="970"/>
      <c r="BA73" s="970"/>
      <c r="BB73" s="970"/>
      <c r="BC73" s="970"/>
      <c r="BD73" s="971"/>
      <c r="BE73" s="216"/>
      <c r="BF73" s="216"/>
      <c r="BG73" s="216"/>
      <c r="BH73" s="216"/>
      <c r="BI73" s="216"/>
      <c r="BJ73" s="216"/>
      <c r="BK73" s="216"/>
      <c r="BL73" s="216"/>
      <c r="BM73" s="216"/>
      <c r="BN73" s="216"/>
      <c r="BO73" s="216"/>
      <c r="BP73" s="216"/>
      <c r="BQ73" s="213">
        <v>67</v>
      </c>
      <c r="BR73" s="218"/>
      <c r="BS73" s="950"/>
      <c r="BT73" s="951"/>
      <c r="BU73" s="951"/>
      <c r="BV73" s="951"/>
      <c r="BW73" s="951"/>
      <c r="BX73" s="951"/>
      <c r="BY73" s="951"/>
      <c r="BZ73" s="951"/>
      <c r="CA73" s="951"/>
      <c r="CB73" s="951"/>
      <c r="CC73" s="951"/>
      <c r="CD73" s="951"/>
      <c r="CE73" s="951"/>
      <c r="CF73" s="951"/>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37"/>
      <c r="DW73" s="938"/>
      <c r="DX73" s="938"/>
      <c r="DY73" s="938"/>
      <c r="DZ73" s="939"/>
      <c r="EA73" s="197"/>
    </row>
    <row r="74" spans="1:131" s="198" customFormat="1" ht="26.25" customHeight="1">
      <c r="A74" s="212">
        <v>7</v>
      </c>
      <c r="B74" s="972" t="s">
        <v>539</v>
      </c>
      <c r="C74" s="973"/>
      <c r="D74" s="973"/>
      <c r="E74" s="973"/>
      <c r="F74" s="973"/>
      <c r="G74" s="973"/>
      <c r="H74" s="973"/>
      <c r="I74" s="973"/>
      <c r="J74" s="973"/>
      <c r="K74" s="973"/>
      <c r="L74" s="973"/>
      <c r="M74" s="973"/>
      <c r="N74" s="973"/>
      <c r="O74" s="973"/>
      <c r="P74" s="974"/>
      <c r="Q74" s="976">
        <f>ROUND(1953243/1000,0)</f>
        <v>1953</v>
      </c>
      <c r="R74" s="977">
        <v>1953243</v>
      </c>
      <c r="S74" s="977">
        <v>1953243</v>
      </c>
      <c r="T74" s="977">
        <v>1953243</v>
      </c>
      <c r="U74" s="978">
        <v>1953243</v>
      </c>
      <c r="V74" s="969">
        <f>ROUND(1942162/1000,0)</f>
        <v>1942</v>
      </c>
      <c r="W74" s="969">
        <v>1942162</v>
      </c>
      <c r="X74" s="969">
        <v>1942162</v>
      </c>
      <c r="Y74" s="969">
        <v>1942162</v>
      </c>
      <c r="Z74" s="969">
        <v>1942162</v>
      </c>
      <c r="AA74" s="969">
        <f>ROUND(11081/1000,0)</f>
        <v>11</v>
      </c>
      <c r="AB74" s="969">
        <v>11081</v>
      </c>
      <c r="AC74" s="969">
        <v>11081</v>
      </c>
      <c r="AD74" s="969">
        <v>11081</v>
      </c>
      <c r="AE74" s="969">
        <v>11081</v>
      </c>
      <c r="AF74" s="969">
        <f>ROUND(11081/1000,0)</f>
        <v>11</v>
      </c>
      <c r="AG74" s="969">
        <v>11081</v>
      </c>
      <c r="AH74" s="969">
        <v>11081</v>
      </c>
      <c r="AI74" s="969">
        <v>11081</v>
      </c>
      <c r="AJ74" s="969">
        <v>11081</v>
      </c>
      <c r="AK74" s="969">
        <f>ROUND(3000/1000,0)</f>
        <v>3</v>
      </c>
      <c r="AL74" s="969">
        <v>11081</v>
      </c>
      <c r="AM74" s="969">
        <v>11081</v>
      </c>
      <c r="AN74" s="969">
        <v>11081</v>
      </c>
      <c r="AO74" s="969">
        <v>11081</v>
      </c>
      <c r="AP74" s="969">
        <f>ROUND(1064197/1000,0)</f>
        <v>1064</v>
      </c>
      <c r="AQ74" s="969">
        <v>11081</v>
      </c>
      <c r="AR74" s="969">
        <v>11081</v>
      </c>
      <c r="AS74" s="969">
        <v>11081</v>
      </c>
      <c r="AT74" s="969">
        <v>11081</v>
      </c>
      <c r="AU74" s="969">
        <f>ROUND(568569/1000,0)</f>
        <v>569</v>
      </c>
      <c r="AV74" s="969">
        <v>11081</v>
      </c>
      <c r="AW74" s="969">
        <v>11081</v>
      </c>
      <c r="AX74" s="969">
        <v>11081</v>
      </c>
      <c r="AY74" s="969">
        <v>11081</v>
      </c>
      <c r="AZ74" s="970"/>
      <c r="BA74" s="970"/>
      <c r="BB74" s="970"/>
      <c r="BC74" s="970"/>
      <c r="BD74" s="971"/>
      <c r="BE74" s="216"/>
      <c r="BF74" s="216"/>
      <c r="BG74" s="216"/>
      <c r="BH74" s="216"/>
      <c r="BI74" s="216"/>
      <c r="BJ74" s="216"/>
      <c r="BK74" s="216"/>
      <c r="BL74" s="216"/>
      <c r="BM74" s="216"/>
      <c r="BN74" s="216"/>
      <c r="BO74" s="216"/>
      <c r="BP74" s="216"/>
      <c r="BQ74" s="213">
        <v>68</v>
      </c>
      <c r="BR74" s="218"/>
      <c r="BS74" s="950"/>
      <c r="BT74" s="951"/>
      <c r="BU74" s="951"/>
      <c r="BV74" s="951"/>
      <c r="BW74" s="951"/>
      <c r="BX74" s="951"/>
      <c r="BY74" s="951"/>
      <c r="BZ74" s="951"/>
      <c r="CA74" s="951"/>
      <c r="CB74" s="951"/>
      <c r="CC74" s="951"/>
      <c r="CD74" s="951"/>
      <c r="CE74" s="951"/>
      <c r="CF74" s="951"/>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37"/>
      <c r="DW74" s="938"/>
      <c r="DX74" s="938"/>
      <c r="DY74" s="938"/>
      <c r="DZ74" s="939"/>
      <c r="EA74" s="197"/>
    </row>
    <row r="75" spans="1:131" s="198" customFormat="1" ht="26.25" customHeight="1">
      <c r="A75" s="212">
        <v>8</v>
      </c>
      <c r="B75" s="972" t="s">
        <v>540</v>
      </c>
      <c r="C75" s="973"/>
      <c r="D75" s="973"/>
      <c r="E75" s="973"/>
      <c r="F75" s="973"/>
      <c r="G75" s="973"/>
      <c r="H75" s="973"/>
      <c r="I75" s="973"/>
      <c r="J75" s="973"/>
      <c r="K75" s="973"/>
      <c r="L75" s="973"/>
      <c r="M75" s="973"/>
      <c r="N75" s="973"/>
      <c r="O75" s="973"/>
      <c r="P75" s="974"/>
      <c r="Q75" s="976">
        <f>ROUND(2613816/1000,0)</f>
        <v>2614</v>
      </c>
      <c r="R75" s="977">
        <v>2613816</v>
      </c>
      <c r="S75" s="977">
        <v>2613816</v>
      </c>
      <c r="T75" s="977">
        <v>2613816</v>
      </c>
      <c r="U75" s="978">
        <v>2613816</v>
      </c>
      <c r="V75" s="979">
        <f>ROUND(2558402/1000,0)</f>
        <v>2558</v>
      </c>
      <c r="W75" s="977">
        <v>2558402</v>
      </c>
      <c r="X75" s="977">
        <v>2558402</v>
      </c>
      <c r="Y75" s="977">
        <v>2558402</v>
      </c>
      <c r="Z75" s="978">
        <v>2558402</v>
      </c>
      <c r="AA75" s="979">
        <f>ROUND(55414/1000,0)</f>
        <v>55</v>
      </c>
      <c r="AB75" s="977">
        <v>55414</v>
      </c>
      <c r="AC75" s="977">
        <v>55414</v>
      </c>
      <c r="AD75" s="977">
        <v>55414</v>
      </c>
      <c r="AE75" s="978">
        <v>55414</v>
      </c>
      <c r="AF75" s="979">
        <f>ROUND(55414/1000,0)</f>
        <v>55</v>
      </c>
      <c r="AG75" s="977">
        <v>55414</v>
      </c>
      <c r="AH75" s="977">
        <v>55414</v>
      </c>
      <c r="AI75" s="977">
        <v>55414</v>
      </c>
      <c r="AJ75" s="978">
        <v>55414</v>
      </c>
      <c r="AK75" s="979">
        <f>ROUND(18118/1000,0)</f>
        <v>18</v>
      </c>
      <c r="AL75" s="977">
        <v>55414</v>
      </c>
      <c r="AM75" s="977">
        <v>55414</v>
      </c>
      <c r="AN75" s="977">
        <v>55414</v>
      </c>
      <c r="AO75" s="978">
        <v>55414</v>
      </c>
      <c r="AP75" s="979" t="s">
        <v>543</v>
      </c>
      <c r="AQ75" s="977">
        <v>55414</v>
      </c>
      <c r="AR75" s="977">
        <v>55414</v>
      </c>
      <c r="AS75" s="977">
        <v>55414</v>
      </c>
      <c r="AT75" s="978">
        <v>55414</v>
      </c>
      <c r="AU75" s="979" t="s">
        <v>543</v>
      </c>
      <c r="AV75" s="977">
        <v>55414</v>
      </c>
      <c r="AW75" s="977">
        <v>55414</v>
      </c>
      <c r="AX75" s="977">
        <v>55414</v>
      </c>
      <c r="AY75" s="978">
        <v>55414</v>
      </c>
      <c r="AZ75" s="970"/>
      <c r="BA75" s="970"/>
      <c r="BB75" s="970"/>
      <c r="BC75" s="970"/>
      <c r="BD75" s="971"/>
      <c r="BE75" s="216"/>
      <c r="BF75" s="216"/>
      <c r="BG75" s="216"/>
      <c r="BH75" s="216"/>
      <c r="BI75" s="216"/>
      <c r="BJ75" s="216"/>
      <c r="BK75" s="216"/>
      <c r="BL75" s="216"/>
      <c r="BM75" s="216"/>
      <c r="BN75" s="216"/>
      <c r="BO75" s="216"/>
      <c r="BP75" s="216"/>
      <c r="BQ75" s="213">
        <v>69</v>
      </c>
      <c r="BR75" s="218"/>
      <c r="BS75" s="950"/>
      <c r="BT75" s="951"/>
      <c r="BU75" s="951"/>
      <c r="BV75" s="951"/>
      <c r="BW75" s="951"/>
      <c r="BX75" s="951"/>
      <c r="BY75" s="951"/>
      <c r="BZ75" s="951"/>
      <c r="CA75" s="951"/>
      <c r="CB75" s="951"/>
      <c r="CC75" s="951"/>
      <c r="CD75" s="951"/>
      <c r="CE75" s="951"/>
      <c r="CF75" s="951"/>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37"/>
      <c r="DW75" s="938"/>
      <c r="DX75" s="938"/>
      <c r="DY75" s="938"/>
      <c r="DZ75" s="939"/>
      <c r="EA75" s="197"/>
    </row>
    <row r="76" spans="1:131" s="198" customFormat="1" ht="26.25" customHeight="1">
      <c r="A76" s="212">
        <v>9</v>
      </c>
      <c r="B76" s="972" t="s">
        <v>541</v>
      </c>
      <c r="C76" s="973"/>
      <c r="D76" s="973"/>
      <c r="E76" s="973"/>
      <c r="F76" s="973"/>
      <c r="G76" s="973"/>
      <c r="H76" s="973"/>
      <c r="I76" s="973"/>
      <c r="J76" s="973"/>
      <c r="K76" s="973"/>
      <c r="L76" s="973"/>
      <c r="M76" s="973"/>
      <c r="N76" s="973"/>
      <c r="O76" s="973"/>
      <c r="P76" s="974"/>
      <c r="Q76" s="976">
        <f>ROUND(325976998/1000,0)</f>
        <v>325977</v>
      </c>
      <c r="R76" s="977">
        <v>325976998</v>
      </c>
      <c r="S76" s="977">
        <v>325976998</v>
      </c>
      <c r="T76" s="977">
        <v>325976998</v>
      </c>
      <c r="U76" s="978">
        <v>325976998</v>
      </c>
      <c r="V76" s="979">
        <f>ROUND(309321199/1000,0)</f>
        <v>309321</v>
      </c>
      <c r="W76" s="977">
        <v>309321199</v>
      </c>
      <c r="X76" s="977">
        <v>309321199</v>
      </c>
      <c r="Y76" s="977">
        <v>309321199</v>
      </c>
      <c r="Z76" s="978">
        <v>309321199</v>
      </c>
      <c r="AA76" s="979">
        <f>ROUND(16655799/1000,0)</f>
        <v>16656</v>
      </c>
      <c r="AB76" s="977">
        <v>16655799</v>
      </c>
      <c r="AC76" s="977">
        <v>16655799</v>
      </c>
      <c r="AD76" s="977">
        <v>16655799</v>
      </c>
      <c r="AE76" s="978">
        <v>16655799</v>
      </c>
      <c r="AF76" s="979">
        <f>ROUND(16655799/1000,0)</f>
        <v>16656</v>
      </c>
      <c r="AG76" s="977">
        <v>16655799</v>
      </c>
      <c r="AH76" s="977">
        <v>16655799</v>
      </c>
      <c r="AI76" s="977">
        <v>16655799</v>
      </c>
      <c r="AJ76" s="978">
        <v>16655799</v>
      </c>
      <c r="AK76" s="979">
        <f>ROUND(1899392/1000,0)</f>
        <v>1899</v>
      </c>
      <c r="AL76" s="977">
        <v>16655799</v>
      </c>
      <c r="AM76" s="977">
        <v>16655799</v>
      </c>
      <c r="AN76" s="977">
        <v>16655799</v>
      </c>
      <c r="AO76" s="978">
        <v>16655799</v>
      </c>
      <c r="AP76" s="979" t="s">
        <v>543</v>
      </c>
      <c r="AQ76" s="977">
        <v>16655799</v>
      </c>
      <c r="AR76" s="977">
        <v>16655799</v>
      </c>
      <c r="AS76" s="977">
        <v>16655799</v>
      </c>
      <c r="AT76" s="978">
        <v>16655799</v>
      </c>
      <c r="AU76" s="979" t="s">
        <v>543</v>
      </c>
      <c r="AV76" s="977">
        <v>16655799</v>
      </c>
      <c r="AW76" s="977">
        <v>16655799</v>
      </c>
      <c r="AX76" s="977">
        <v>16655799</v>
      </c>
      <c r="AY76" s="978">
        <v>16655799</v>
      </c>
      <c r="AZ76" s="970"/>
      <c r="BA76" s="970"/>
      <c r="BB76" s="970"/>
      <c r="BC76" s="970"/>
      <c r="BD76" s="971"/>
      <c r="BE76" s="216"/>
      <c r="BF76" s="216"/>
      <c r="BG76" s="216"/>
      <c r="BH76" s="216"/>
      <c r="BI76" s="216"/>
      <c r="BJ76" s="216"/>
      <c r="BK76" s="216"/>
      <c r="BL76" s="216"/>
      <c r="BM76" s="216"/>
      <c r="BN76" s="216"/>
      <c r="BO76" s="216"/>
      <c r="BP76" s="216"/>
      <c r="BQ76" s="213">
        <v>70</v>
      </c>
      <c r="BR76" s="218"/>
      <c r="BS76" s="950"/>
      <c r="BT76" s="951"/>
      <c r="BU76" s="951"/>
      <c r="BV76" s="951"/>
      <c r="BW76" s="951"/>
      <c r="BX76" s="951"/>
      <c r="BY76" s="951"/>
      <c r="BZ76" s="951"/>
      <c r="CA76" s="951"/>
      <c r="CB76" s="951"/>
      <c r="CC76" s="951"/>
      <c r="CD76" s="951"/>
      <c r="CE76" s="951"/>
      <c r="CF76" s="951"/>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37"/>
      <c r="DW76" s="938"/>
      <c r="DX76" s="938"/>
      <c r="DY76" s="938"/>
      <c r="DZ76" s="939"/>
      <c r="EA76" s="197"/>
    </row>
    <row r="77" spans="1:131" s="198" customFormat="1" ht="26.25" customHeight="1">
      <c r="A77" s="212">
        <v>10</v>
      </c>
      <c r="B77" s="972" t="s">
        <v>542</v>
      </c>
      <c r="C77" s="973"/>
      <c r="D77" s="973"/>
      <c r="E77" s="973"/>
      <c r="F77" s="973"/>
      <c r="G77" s="973"/>
      <c r="H77" s="973"/>
      <c r="I77" s="973"/>
      <c r="J77" s="973"/>
      <c r="K77" s="973"/>
      <c r="L77" s="973"/>
      <c r="M77" s="973"/>
      <c r="N77" s="973"/>
      <c r="O77" s="973"/>
      <c r="P77" s="974"/>
      <c r="Q77" s="976">
        <f>ROUND(2465760/1000,0)</f>
        <v>2466</v>
      </c>
      <c r="R77" s="977">
        <v>2465760</v>
      </c>
      <c r="S77" s="977">
        <v>2465760</v>
      </c>
      <c r="T77" s="977">
        <v>2465760</v>
      </c>
      <c r="U77" s="978">
        <v>2465760</v>
      </c>
      <c r="V77" s="979">
        <f>ROUND(2464800/1000,0)</f>
        <v>2465</v>
      </c>
      <c r="W77" s="977"/>
      <c r="X77" s="977"/>
      <c r="Y77" s="977"/>
      <c r="Z77" s="978"/>
      <c r="AA77" s="979">
        <f>ROUND(960/1000,0)</f>
        <v>1</v>
      </c>
      <c r="AB77" s="977"/>
      <c r="AC77" s="977"/>
      <c r="AD77" s="977"/>
      <c r="AE77" s="978"/>
      <c r="AF77" s="979">
        <f>ROUND(960/1000,0)</f>
        <v>1</v>
      </c>
      <c r="AG77" s="977"/>
      <c r="AH77" s="977"/>
      <c r="AI77" s="977"/>
      <c r="AJ77" s="978"/>
      <c r="AK77" s="979" t="s">
        <v>543</v>
      </c>
      <c r="AL77" s="977"/>
      <c r="AM77" s="977"/>
      <c r="AN77" s="977"/>
      <c r="AO77" s="978"/>
      <c r="AP77" s="979" t="s">
        <v>543</v>
      </c>
      <c r="AQ77" s="977"/>
      <c r="AR77" s="977"/>
      <c r="AS77" s="977"/>
      <c r="AT77" s="978"/>
      <c r="AU77" s="979" t="s">
        <v>543</v>
      </c>
      <c r="AV77" s="977"/>
      <c r="AW77" s="977"/>
      <c r="AX77" s="977"/>
      <c r="AY77" s="978"/>
      <c r="AZ77" s="970"/>
      <c r="BA77" s="970"/>
      <c r="BB77" s="970"/>
      <c r="BC77" s="970"/>
      <c r="BD77" s="971"/>
      <c r="BE77" s="216"/>
      <c r="BF77" s="216"/>
      <c r="BG77" s="216"/>
      <c r="BH77" s="216"/>
      <c r="BI77" s="216"/>
      <c r="BJ77" s="216"/>
      <c r="BK77" s="216"/>
      <c r="BL77" s="216"/>
      <c r="BM77" s="216"/>
      <c r="BN77" s="216"/>
      <c r="BO77" s="216"/>
      <c r="BP77" s="216"/>
      <c r="BQ77" s="213">
        <v>71</v>
      </c>
      <c r="BR77" s="218"/>
      <c r="BS77" s="950"/>
      <c r="BT77" s="951"/>
      <c r="BU77" s="951"/>
      <c r="BV77" s="951"/>
      <c r="BW77" s="951"/>
      <c r="BX77" s="951"/>
      <c r="BY77" s="951"/>
      <c r="BZ77" s="951"/>
      <c r="CA77" s="951"/>
      <c r="CB77" s="951"/>
      <c r="CC77" s="951"/>
      <c r="CD77" s="951"/>
      <c r="CE77" s="951"/>
      <c r="CF77" s="951"/>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37"/>
      <c r="DW77" s="938"/>
      <c r="DX77" s="938"/>
      <c r="DY77" s="938"/>
      <c r="DZ77" s="939"/>
      <c r="EA77" s="197"/>
    </row>
    <row r="78" spans="1:131" s="198" customFormat="1" ht="26.25" customHeight="1">
      <c r="A78" s="212">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16"/>
      <c r="BF78" s="216"/>
      <c r="BG78" s="216"/>
      <c r="BH78" s="216"/>
      <c r="BI78" s="216"/>
      <c r="BJ78" s="219"/>
      <c r="BK78" s="219"/>
      <c r="BL78" s="219"/>
      <c r="BM78" s="219"/>
      <c r="BN78" s="219"/>
      <c r="BO78" s="216"/>
      <c r="BP78" s="216"/>
      <c r="BQ78" s="213">
        <v>72</v>
      </c>
      <c r="BR78" s="218"/>
      <c r="BS78" s="950"/>
      <c r="BT78" s="951"/>
      <c r="BU78" s="951"/>
      <c r="BV78" s="951"/>
      <c r="BW78" s="951"/>
      <c r="BX78" s="951"/>
      <c r="BY78" s="951"/>
      <c r="BZ78" s="951"/>
      <c r="CA78" s="951"/>
      <c r="CB78" s="951"/>
      <c r="CC78" s="951"/>
      <c r="CD78" s="951"/>
      <c r="CE78" s="951"/>
      <c r="CF78" s="951"/>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37"/>
      <c r="DW78" s="938"/>
      <c r="DX78" s="938"/>
      <c r="DY78" s="938"/>
      <c r="DZ78" s="939"/>
      <c r="EA78" s="197"/>
    </row>
    <row r="79" spans="1:131" s="198" customFormat="1" ht="26.25" customHeight="1">
      <c r="A79" s="212">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16"/>
      <c r="BF79" s="216"/>
      <c r="BG79" s="216"/>
      <c r="BH79" s="216"/>
      <c r="BI79" s="216"/>
      <c r="BJ79" s="219"/>
      <c r="BK79" s="219"/>
      <c r="BL79" s="219"/>
      <c r="BM79" s="219"/>
      <c r="BN79" s="219"/>
      <c r="BO79" s="216"/>
      <c r="BP79" s="216"/>
      <c r="BQ79" s="213">
        <v>73</v>
      </c>
      <c r="BR79" s="218"/>
      <c r="BS79" s="950"/>
      <c r="BT79" s="951"/>
      <c r="BU79" s="951"/>
      <c r="BV79" s="951"/>
      <c r="BW79" s="951"/>
      <c r="BX79" s="951"/>
      <c r="BY79" s="951"/>
      <c r="BZ79" s="951"/>
      <c r="CA79" s="951"/>
      <c r="CB79" s="951"/>
      <c r="CC79" s="951"/>
      <c r="CD79" s="951"/>
      <c r="CE79" s="951"/>
      <c r="CF79" s="951"/>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37"/>
      <c r="DW79" s="938"/>
      <c r="DX79" s="938"/>
      <c r="DY79" s="938"/>
      <c r="DZ79" s="939"/>
      <c r="EA79" s="197"/>
    </row>
    <row r="80" spans="1:131" s="198" customFormat="1" ht="26.25" customHeight="1">
      <c r="A80" s="212">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16"/>
      <c r="BF80" s="216"/>
      <c r="BG80" s="216"/>
      <c r="BH80" s="216"/>
      <c r="BI80" s="216"/>
      <c r="BJ80" s="216"/>
      <c r="BK80" s="216"/>
      <c r="BL80" s="216"/>
      <c r="BM80" s="216"/>
      <c r="BN80" s="216"/>
      <c r="BO80" s="216"/>
      <c r="BP80" s="216"/>
      <c r="BQ80" s="213">
        <v>74</v>
      </c>
      <c r="BR80" s="218"/>
      <c r="BS80" s="950"/>
      <c r="BT80" s="951"/>
      <c r="BU80" s="951"/>
      <c r="BV80" s="951"/>
      <c r="BW80" s="951"/>
      <c r="BX80" s="951"/>
      <c r="BY80" s="951"/>
      <c r="BZ80" s="951"/>
      <c r="CA80" s="951"/>
      <c r="CB80" s="951"/>
      <c r="CC80" s="951"/>
      <c r="CD80" s="951"/>
      <c r="CE80" s="951"/>
      <c r="CF80" s="951"/>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37"/>
      <c r="DW80" s="938"/>
      <c r="DX80" s="938"/>
      <c r="DY80" s="938"/>
      <c r="DZ80" s="939"/>
      <c r="EA80" s="197"/>
    </row>
    <row r="81" spans="1:131" s="198" customFormat="1" ht="26.25" customHeight="1">
      <c r="A81" s="212">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16"/>
      <c r="BF81" s="216"/>
      <c r="BG81" s="216"/>
      <c r="BH81" s="216"/>
      <c r="BI81" s="216"/>
      <c r="BJ81" s="216"/>
      <c r="BK81" s="216"/>
      <c r="BL81" s="216"/>
      <c r="BM81" s="216"/>
      <c r="BN81" s="216"/>
      <c r="BO81" s="216"/>
      <c r="BP81" s="216"/>
      <c r="BQ81" s="213">
        <v>75</v>
      </c>
      <c r="BR81" s="218"/>
      <c r="BS81" s="950"/>
      <c r="BT81" s="951"/>
      <c r="BU81" s="951"/>
      <c r="BV81" s="951"/>
      <c r="BW81" s="951"/>
      <c r="BX81" s="951"/>
      <c r="BY81" s="951"/>
      <c r="BZ81" s="951"/>
      <c r="CA81" s="951"/>
      <c r="CB81" s="951"/>
      <c r="CC81" s="951"/>
      <c r="CD81" s="951"/>
      <c r="CE81" s="951"/>
      <c r="CF81" s="951"/>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37"/>
      <c r="DW81" s="938"/>
      <c r="DX81" s="938"/>
      <c r="DY81" s="938"/>
      <c r="DZ81" s="939"/>
      <c r="EA81" s="197"/>
    </row>
    <row r="82" spans="1:131" s="198" customFormat="1" ht="26.25" customHeight="1">
      <c r="A82" s="212">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16"/>
      <c r="BF82" s="216"/>
      <c r="BG82" s="216"/>
      <c r="BH82" s="216"/>
      <c r="BI82" s="216"/>
      <c r="BJ82" s="216"/>
      <c r="BK82" s="216"/>
      <c r="BL82" s="216"/>
      <c r="BM82" s="216"/>
      <c r="BN82" s="216"/>
      <c r="BO82" s="216"/>
      <c r="BP82" s="216"/>
      <c r="BQ82" s="213">
        <v>76</v>
      </c>
      <c r="BR82" s="218"/>
      <c r="BS82" s="950"/>
      <c r="BT82" s="951"/>
      <c r="BU82" s="951"/>
      <c r="BV82" s="951"/>
      <c r="BW82" s="951"/>
      <c r="BX82" s="951"/>
      <c r="BY82" s="951"/>
      <c r="BZ82" s="951"/>
      <c r="CA82" s="951"/>
      <c r="CB82" s="951"/>
      <c r="CC82" s="951"/>
      <c r="CD82" s="951"/>
      <c r="CE82" s="951"/>
      <c r="CF82" s="951"/>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37"/>
      <c r="DW82" s="938"/>
      <c r="DX82" s="938"/>
      <c r="DY82" s="938"/>
      <c r="DZ82" s="939"/>
      <c r="EA82" s="197"/>
    </row>
    <row r="83" spans="1:131" s="198" customFormat="1" ht="26.25" customHeight="1">
      <c r="A83" s="212">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16"/>
      <c r="BF83" s="216"/>
      <c r="BG83" s="216"/>
      <c r="BH83" s="216"/>
      <c r="BI83" s="216"/>
      <c r="BJ83" s="216"/>
      <c r="BK83" s="216"/>
      <c r="BL83" s="216"/>
      <c r="BM83" s="216"/>
      <c r="BN83" s="216"/>
      <c r="BO83" s="216"/>
      <c r="BP83" s="216"/>
      <c r="BQ83" s="213">
        <v>77</v>
      </c>
      <c r="BR83" s="218"/>
      <c r="BS83" s="950"/>
      <c r="BT83" s="951"/>
      <c r="BU83" s="951"/>
      <c r="BV83" s="951"/>
      <c r="BW83" s="951"/>
      <c r="BX83" s="951"/>
      <c r="BY83" s="951"/>
      <c r="BZ83" s="951"/>
      <c r="CA83" s="951"/>
      <c r="CB83" s="951"/>
      <c r="CC83" s="951"/>
      <c r="CD83" s="951"/>
      <c r="CE83" s="951"/>
      <c r="CF83" s="951"/>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37"/>
      <c r="DW83" s="938"/>
      <c r="DX83" s="938"/>
      <c r="DY83" s="938"/>
      <c r="DZ83" s="939"/>
      <c r="EA83" s="197"/>
    </row>
    <row r="84" spans="1:131" s="198" customFormat="1" ht="26.25" customHeight="1">
      <c r="A84" s="212">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16"/>
      <c r="BF84" s="216"/>
      <c r="BG84" s="216"/>
      <c r="BH84" s="216"/>
      <c r="BI84" s="216"/>
      <c r="BJ84" s="216"/>
      <c r="BK84" s="216"/>
      <c r="BL84" s="216"/>
      <c r="BM84" s="216"/>
      <c r="BN84" s="216"/>
      <c r="BO84" s="216"/>
      <c r="BP84" s="216"/>
      <c r="BQ84" s="213">
        <v>78</v>
      </c>
      <c r="BR84" s="218"/>
      <c r="BS84" s="950"/>
      <c r="BT84" s="951"/>
      <c r="BU84" s="951"/>
      <c r="BV84" s="951"/>
      <c r="BW84" s="951"/>
      <c r="BX84" s="951"/>
      <c r="BY84" s="951"/>
      <c r="BZ84" s="951"/>
      <c r="CA84" s="951"/>
      <c r="CB84" s="951"/>
      <c r="CC84" s="951"/>
      <c r="CD84" s="951"/>
      <c r="CE84" s="951"/>
      <c r="CF84" s="951"/>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37"/>
      <c r="DW84" s="938"/>
      <c r="DX84" s="938"/>
      <c r="DY84" s="938"/>
      <c r="DZ84" s="939"/>
      <c r="EA84" s="197"/>
    </row>
    <row r="85" spans="1:131" s="198" customFormat="1" ht="26.25" customHeight="1">
      <c r="A85" s="212">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16"/>
      <c r="BF85" s="216"/>
      <c r="BG85" s="216"/>
      <c r="BH85" s="216"/>
      <c r="BI85" s="216"/>
      <c r="BJ85" s="216"/>
      <c r="BK85" s="216"/>
      <c r="BL85" s="216"/>
      <c r="BM85" s="216"/>
      <c r="BN85" s="216"/>
      <c r="BO85" s="216"/>
      <c r="BP85" s="216"/>
      <c r="BQ85" s="213">
        <v>79</v>
      </c>
      <c r="BR85" s="218"/>
      <c r="BS85" s="950"/>
      <c r="BT85" s="951"/>
      <c r="BU85" s="951"/>
      <c r="BV85" s="951"/>
      <c r="BW85" s="951"/>
      <c r="BX85" s="951"/>
      <c r="BY85" s="951"/>
      <c r="BZ85" s="951"/>
      <c r="CA85" s="951"/>
      <c r="CB85" s="951"/>
      <c r="CC85" s="951"/>
      <c r="CD85" s="951"/>
      <c r="CE85" s="951"/>
      <c r="CF85" s="951"/>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37"/>
      <c r="DW85" s="938"/>
      <c r="DX85" s="938"/>
      <c r="DY85" s="938"/>
      <c r="DZ85" s="939"/>
      <c r="EA85" s="197"/>
    </row>
    <row r="86" spans="1:131" s="198" customFormat="1" ht="26.25" customHeight="1">
      <c r="A86" s="212">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16"/>
      <c r="BF86" s="216"/>
      <c r="BG86" s="216"/>
      <c r="BH86" s="216"/>
      <c r="BI86" s="216"/>
      <c r="BJ86" s="216"/>
      <c r="BK86" s="216"/>
      <c r="BL86" s="216"/>
      <c r="BM86" s="216"/>
      <c r="BN86" s="216"/>
      <c r="BO86" s="216"/>
      <c r="BP86" s="216"/>
      <c r="BQ86" s="213">
        <v>80</v>
      </c>
      <c r="BR86" s="218"/>
      <c r="BS86" s="950"/>
      <c r="BT86" s="951"/>
      <c r="BU86" s="951"/>
      <c r="BV86" s="951"/>
      <c r="BW86" s="951"/>
      <c r="BX86" s="951"/>
      <c r="BY86" s="951"/>
      <c r="BZ86" s="951"/>
      <c r="CA86" s="951"/>
      <c r="CB86" s="951"/>
      <c r="CC86" s="951"/>
      <c r="CD86" s="951"/>
      <c r="CE86" s="951"/>
      <c r="CF86" s="951"/>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37"/>
      <c r="DW86" s="938"/>
      <c r="DX86" s="938"/>
      <c r="DY86" s="938"/>
      <c r="DZ86" s="939"/>
      <c r="EA86" s="197"/>
    </row>
    <row r="87" spans="1:131" s="198" customFormat="1" ht="26.25" customHeight="1">
      <c r="A87" s="220">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16"/>
      <c r="BF87" s="216"/>
      <c r="BG87" s="216"/>
      <c r="BH87" s="216"/>
      <c r="BI87" s="216"/>
      <c r="BJ87" s="216"/>
      <c r="BK87" s="216"/>
      <c r="BL87" s="216"/>
      <c r="BM87" s="216"/>
      <c r="BN87" s="216"/>
      <c r="BO87" s="216"/>
      <c r="BP87" s="216"/>
      <c r="BQ87" s="213">
        <v>81</v>
      </c>
      <c r="BR87" s="218"/>
      <c r="BS87" s="950"/>
      <c r="BT87" s="951"/>
      <c r="BU87" s="951"/>
      <c r="BV87" s="951"/>
      <c r="BW87" s="951"/>
      <c r="BX87" s="951"/>
      <c r="BY87" s="951"/>
      <c r="BZ87" s="951"/>
      <c r="CA87" s="951"/>
      <c r="CB87" s="951"/>
      <c r="CC87" s="951"/>
      <c r="CD87" s="951"/>
      <c r="CE87" s="951"/>
      <c r="CF87" s="951"/>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37"/>
      <c r="DW87" s="938"/>
      <c r="DX87" s="938"/>
      <c r="DY87" s="938"/>
      <c r="DZ87" s="939"/>
      <c r="EA87" s="197"/>
    </row>
    <row r="88" spans="1:131" s="198" customFormat="1" ht="26.25" customHeight="1" thickBot="1">
      <c r="A88" s="215" t="s">
        <v>369</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46">
        <f>ROUND((13473+1707+2422+12257+4038+730663+11081+55414+16655799+960)/1000,0)</f>
        <v>17488</v>
      </c>
      <c r="AG88" s="946"/>
      <c r="AH88" s="946"/>
      <c r="AI88" s="946"/>
      <c r="AJ88" s="946"/>
      <c r="AK88" s="960"/>
      <c r="AL88" s="944"/>
      <c r="AM88" s="944"/>
      <c r="AN88" s="944"/>
      <c r="AO88" s="961"/>
      <c r="AP88" s="946">
        <f>ROUND((1648540+221721+1064197)/1000,0)</f>
        <v>2934</v>
      </c>
      <c r="AQ88" s="946"/>
      <c r="AR88" s="946"/>
      <c r="AS88" s="946"/>
      <c r="AT88" s="946"/>
      <c r="AU88" s="946">
        <f>ROUND((881969+2175+568569)/1000,0)</f>
        <v>1453</v>
      </c>
      <c r="AV88" s="946"/>
      <c r="AW88" s="946"/>
      <c r="AX88" s="946"/>
      <c r="AY88" s="946"/>
      <c r="AZ88" s="956"/>
      <c r="BA88" s="956"/>
      <c r="BB88" s="956"/>
      <c r="BC88" s="956"/>
      <c r="BD88" s="957"/>
      <c r="BE88" s="216"/>
      <c r="BF88" s="216"/>
      <c r="BG88" s="216"/>
      <c r="BH88" s="216"/>
      <c r="BI88" s="216"/>
      <c r="BJ88" s="216"/>
      <c r="BK88" s="216"/>
      <c r="BL88" s="216"/>
      <c r="BM88" s="216"/>
      <c r="BN88" s="216"/>
      <c r="BO88" s="216"/>
      <c r="BP88" s="216"/>
      <c r="BQ88" s="213">
        <v>82</v>
      </c>
      <c r="BR88" s="218"/>
      <c r="BS88" s="950"/>
      <c r="BT88" s="951"/>
      <c r="BU88" s="951"/>
      <c r="BV88" s="951"/>
      <c r="BW88" s="951"/>
      <c r="BX88" s="951"/>
      <c r="BY88" s="951"/>
      <c r="BZ88" s="951"/>
      <c r="CA88" s="951"/>
      <c r="CB88" s="951"/>
      <c r="CC88" s="951"/>
      <c r="CD88" s="951"/>
      <c r="CE88" s="951"/>
      <c r="CF88" s="951"/>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0"/>
      <c r="BT89" s="951"/>
      <c r="BU89" s="951"/>
      <c r="BV89" s="951"/>
      <c r="BW89" s="951"/>
      <c r="BX89" s="951"/>
      <c r="BY89" s="951"/>
      <c r="BZ89" s="951"/>
      <c r="CA89" s="951"/>
      <c r="CB89" s="951"/>
      <c r="CC89" s="951"/>
      <c r="CD89" s="951"/>
      <c r="CE89" s="951"/>
      <c r="CF89" s="951"/>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0"/>
      <c r="BT90" s="951"/>
      <c r="BU90" s="951"/>
      <c r="BV90" s="951"/>
      <c r="BW90" s="951"/>
      <c r="BX90" s="951"/>
      <c r="BY90" s="951"/>
      <c r="BZ90" s="951"/>
      <c r="CA90" s="951"/>
      <c r="CB90" s="951"/>
      <c r="CC90" s="951"/>
      <c r="CD90" s="951"/>
      <c r="CE90" s="951"/>
      <c r="CF90" s="951"/>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0"/>
      <c r="BT91" s="951"/>
      <c r="BU91" s="951"/>
      <c r="BV91" s="951"/>
      <c r="BW91" s="951"/>
      <c r="BX91" s="951"/>
      <c r="BY91" s="951"/>
      <c r="BZ91" s="951"/>
      <c r="CA91" s="951"/>
      <c r="CB91" s="951"/>
      <c r="CC91" s="951"/>
      <c r="CD91" s="951"/>
      <c r="CE91" s="951"/>
      <c r="CF91" s="951"/>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0"/>
      <c r="BT92" s="951"/>
      <c r="BU92" s="951"/>
      <c r="BV92" s="951"/>
      <c r="BW92" s="951"/>
      <c r="BX92" s="951"/>
      <c r="BY92" s="951"/>
      <c r="BZ92" s="951"/>
      <c r="CA92" s="951"/>
      <c r="CB92" s="951"/>
      <c r="CC92" s="951"/>
      <c r="CD92" s="951"/>
      <c r="CE92" s="951"/>
      <c r="CF92" s="951"/>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0"/>
      <c r="BT93" s="951"/>
      <c r="BU93" s="951"/>
      <c r="BV93" s="951"/>
      <c r="BW93" s="951"/>
      <c r="BX93" s="951"/>
      <c r="BY93" s="951"/>
      <c r="BZ93" s="951"/>
      <c r="CA93" s="951"/>
      <c r="CB93" s="951"/>
      <c r="CC93" s="951"/>
      <c r="CD93" s="951"/>
      <c r="CE93" s="951"/>
      <c r="CF93" s="951"/>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0"/>
      <c r="BT94" s="951"/>
      <c r="BU94" s="951"/>
      <c r="BV94" s="951"/>
      <c r="BW94" s="951"/>
      <c r="BX94" s="951"/>
      <c r="BY94" s="951"/>
      <c r="BZ94" s="951"/>
      <c r="CA94" s="951"/>
      <c r="CB94" s="951"/>
      <c r="CC94" s="951"/>
      <c r="CD94" s="951"/>
      <c r="CE94" s="951"/>
      <c r="CF94" s="951"/>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0"/>
      <c r="BT95" s="951"/>
      <c r="BU95" s="951"/>
      <c r="BV95" s="951"/>
      <c r="BW95" s="951"/>
      <c r="BX95" s="951"/>
      <c r="BY95" s="951"/>
      <c r="BZ95" s="951"/>
      <c r="CA95" s="951"/>
      <c r="CB95" s="951"/>
      <c r="CC95" s="951"/>
      <c r="CD95" s="951"/>
      <c r="CE95" s="951"/>
      <c r="CF95" s="951"/>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0"/>
      <c r="BT96" s="951"/>
      <c r="BU96" s="951"/>
      <c r="BV96" s="951"/>
      <c r="BW96" s="951"/>
      <c r="BX96" s="951"/>
      <c r="BY96" s="951"/>
      <c r="BZ96" s="951"/>
      <c r="CA96" s="951"/>
      <c r="CB96" s="951"/>
      <c r="CC96" s="951"/>
      <c r="CD96" s="951"/>
      <c r="CE96" s="951"/>
      <c r="CF96" s="951"/>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0"/>
      <c r="BT97" s="951"/>
      <c r="BU97" s="951"/>
      <c r="BV97" s="951"/>
      <c r="BW97" s="951"/>
      <c r="BX97" s="951"/>
      <c r="BY97" s="951"/>
      <c r="BZ97" s="951"/>
      <c r="CA97" s="951"/>
      <c r="CB97" s="951"/>
      <c r="CC97" s="951"/>
      <c r="CD97" s="951"/>
      <c r="CE97" s="951"/>
      <c r="CF97" s="951"/>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0"/>
      <c r="BT98" s="951"/>
      <c r="BU98" s="951"/>
      <c r="BV98" s="951"/>
      <c r="BW98" s="951"/>
      <c r="BX98" s="951"/>
      <c r="BY98" s="951"/>
      <c r="BZ98" s="951"/>
      <c r="CA98" s="951"/>
      <c r="CB98" s="951"/>
      <c r="CC98" s="951"/>
      <c r="CD98" s="951"/>
      <c r="CE98" s="951"/>
      <c r="CF98" s="951"/>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0"/>
      <c r="BT99" s="951"/>
      <c r="BU99" s="951"/>
      <c r="BV99" s="951"/>
      <c r="BW99" s="951"/>
      <c r="BX99" s="951"/>
      <c r="BY99" s="951"/>
      <c r="BZ99" s="951"/>
      <c r="CA99" s="951"/>
      <c r="CB99" s="951"/>
      <c r="CC99" s="951"/>
      <c r="CD99" s="951"/>
      <c r="CE99" s="951"/>
      <c r="CF99" s="951"/>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0"/>
      <c r="BT100" s="951"/>
      <c r="BU100" s="951"/>
      <c r="BV100" s="951"/>
      <c r="BW100" s="951"/>
      <c r="BX100" s="951"/>
      <c r="BY100" s="951"/>
      <c r="BZ100" s="951"/>
      <c r="CA100" s="951"/>
      <c r="CB100" s="951"/>
      <c r="CC100" s="951"/>
      <c r="CD100" s="951"/>
      <c r="CE100" s="951"/>
      <c r="CF100" s="951"/>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0"/>
      <c r="BT101" s="951"/>
      <c r="BU101" s="951"/>
      <c r="BV101" s="951"/>
      <c r="BW101" s="951"/>
      <c r="BX101" s="951"/>
      <c r="BY101" s="951"/>
      <c r="BZ101" s="951"/>
      <c r="CA101" s="951"/>
      <c r="CB101" s="951"/>
      <c r="CC101" s="951"/>
      <c r="CD101" s="951"/>
      <c r="CE101" s="951"/>
      <c r="CF101" s="951"/>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ROUND((142500+10000+10000+20000+14717+20000+1500)/1000,0)</f>
        <v>219</v>
      </c>
      <c r="CS102" s="946"/>
      <c r="CT102" s="946"/>
      <c r="CU102" s="946"/>
      <c r="CV102" s="946"/>
      <c r="CW102" s="947">
        <f>ROUND((77427+432+41500+9048+24905+0)/1000,0)</f>
        <v>153</v>
      </c>
      <c r="CX102" s="948"/>
      <c r="CY102" s="948"/>
      <c r="CZ102" s="948"/>
      <c r="DA102" s="949"/>
      <c r="DB102" s="947">
        <f>ROUND(290000/1000,0)</f>
        <v>290</v>
      </c>
      <c r="DC102" s="948"/>
      <c r="DD102" s="948"/>
      <c r="DE102" s="948"/>
      <c r="DF102" s="949"/>
      <c r="DG102" s="947" t="s">
        <v>551</v>
      </c>
      <c r="DH102" s="948"/>
      <c r="DI102" s="948"/>
      <c r="DJ102" s="948"/>
      <c r="DK102" s="949"/>
      <c r="DL102" s="947" t="s">
        <v>550</v>
      </c>
      <c r="DM102" s="948"/>
      <c r="DN102" s="948"/>
      <c r="DO102" s="948"/>
      <c r="DP102" s="949"/>
      <c r="DQ102" s="947" t="s">
        <v>550</v>
      </c>
      <c r="DR102" s="948"/>
      <c r="DS102" s="948"/>
      <c r="DT102" s="948"/>
      <c r="DU102" s="949"/>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2074073</v>
      </c>
      <c r="AB110" s="873"/>
      <c r="AC110" s="873"/>
      <c r="AD110" s="873"/>
      <c r="AE110" s="874"/>
      <c r="AF110" s="875">
        <v>2067285</v>
      </c>
      <c r="AG110" s="873"/>
      <c r="AH110" s="873"/>
      <c r="AI110" s="873"/>
      <c r="AJ110" s="874"/>
      <c r="AK110" s="875">
        <v>2152324</v>
      </c>
      <c r="AL110" s="873"/>
      <c r="AM110" s="873"/>
      <c r="AN110" s="873"/>
      <c r="AO110" s="874"/>
      <c r="AP110" s="876">
        <v>15.8</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23651729</v>
      </c>
      <c r="BR110" s="800"/>
      <c r="BS110" s="800"/>
      <c r="BT110" s="800"/>
      <c r="BU110" s="800"/>
      <c r="BV110" s="800">
        <v>25236051</v>
      </c>
      <c r="BW110" s="800"/>
      <c r="BX110" s="800"/>
      <c r="BY110" s="800"/>
      <c r="BZ110" s="800"/>
      <c r="CA110" s="800">
        <v>26519549</v>
      </c>
      <c r="CB110" s="800"/>
      <c r="CC110" s="800"/>
      <c r="CD110" s="800"/>
      <c r="CE110" s="800"/>
      <c r="CF110" s="861">
        <v>194.5</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273973</v>
      </c>
      <c r="DH110" s="800"/>
      <c r="DI110" s="800"/>
      <c r="DJ110" s="800"/>
      <c r="DK110" s="800"/>
      <c r="DL110" s="800">
        <v>239832</v>
      </c>
      <c r="DM110" s="800"/>
      <c r="DN110" s="800"/>
      <c r="DO110" s="800"/>
      <c r="DP110" s="800"/>
      <c r="DQ110" s="800">
        <v>205661</v>
      </c>
      <c r="DR110" s="800"/>
      <c r="DS110" s="800"/>
      <c r="DT110" s="800"/>
      <c r="DU110" s="800"/>
      <c r="DV110" s="801">
        <v>1.5</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327771</v>
      </c>
      <c r="BR111" s="771"/>
      <c r="BS111" s="771"/>
      <c r="BT111" s="771"/>
      <c r="BU111" s="771"/>
      <c r="BV111" s="771">
        <v>416932</v>
      </c>
      <c r="BW111" s="771"/>
      <c r="BX111" s="771"/>
      <c r="BY111" s="771"/>
      <c r="BZ111" s="771"/>
      <c r="CA111" s="771">
        <v>422701</v>
      </c>
      <c r="CB111" s="771"/>
      <c r="CC111" s="771"/>
      <c r="CD111" s="771"/>
      <c r="CE111" s="771"/>
      <c r="CF111" s="848">
        <v>3.1</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10146886</v>
      </c>
      <c r="BR112" s="771"/>
      <c r="BS112" s="771"/>
      <c r="BT112" s="771"/>
      <c r="BU112" s="771"/>
      <c r="BV112" s="771">
        <v>9910606</v>
      </c>
      <c r="BW112" s="771"/>
      <c r="BX112" s="771"/>
      <c r="BY112" s="771"/>
      <c r="BZ112" s="771"/>
      <c r="CA112" s="771">
        <v>9717201</v>
      </c>
      <c r="CB112" s="771"/>
      <c r="CC112" s="771"/>
      <c r="CD112" s="771"/>
      <c r="CE112" s="771"/>
      <c r="CF112" s="848">
        <v>71.3</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650704</v>
      </c>
      <c r="AB113" s="909"/>
      <c r="AC113" s="909"/>
      <c r="AD113" s="909"/>
      <c r="AE113" s="910"/>
      <c r="AF113" s="911">
        <v>661716</v>
      </c>
      <c r="AG113" s="909"/>
      <c r="AH113" s="909"/>
      <c r="AI113" s="909"/>
      <c r="AJ113" s="910"/>
      <c r="AK113" s="911">
        <v>672513</v>
      </c>
      <c r="AL113" s="909"/>
      <c r="AM113" s="909"/>
      <c r="AN113" s="909"/>
      <c r="AO113" s="910"/>
      <c r="AP113" s="912">
        <v>4.9000000000000004</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1725937</v>
      </c>
      <c r="BR113" s="771"/>
      <c r="BS113" s="771"/>
      <c r="BT113" s="771"/>
      <c r="BU113" s="771"/>
      <c r="BV113" s="771">
        <v>1493209</v>
      </c>
      <c r="BW113" s="771"/>
      <c r="BX113" s="771"/>
      <c r="BY113" s="771"/>
      <c r="BZ113" s="771"/>
      <c r="CA113" s="771">
        <v>1452713</v>
      </c>
      <c r="CB113" s="771"/>
      <c r="CC113" s="771"/>
      <c r="CD113" s="771"/>
      <c r="CE113" s="771"/>
      <c r="CF113" s="848">
        <v>10.7</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267570</v>
      </c>
      <c r="AB114" s="784"/>
      <c r="AC114" s="784"/>
      <c r="AD114" s="784"/>
      <c r="AE114" s="785"/>
      <c r="AF114" s="786">
        <v>236030</v>
      </c>
      <c r="AG114" s="784"/>
      <c r="AH114" s="784"/>
      <c r="AI114" s="784"/>
      <c r="AJ114" s="785"/>
      <c r="AK114" s="786">
        <v>264776</v>
      </c>
      <c r="AL114" s="784"/>
      <c r="AM114" s="784"/>
      <c r="AN114" s="784"/>
      <c r="AO114" s="785"/>
      <c r="AP114" s="754">
        <v>1.9</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4922907</v>
      </c>
      <c r="BR114" s="771"/>
      <c r="BS114" s="771"/>
      <c r="BT114" s="771"/>
      <c r="BU114" s="771"/>
      <c r="BV114" s="771">
        <v>4768970</v>
      </c>
      <c r="BW114" s="771"/>
      <c r="BX114" s="771"/>
      <c r="BY114" s="771"/>
      <c r="BZ114" s="771"/>
      <c r="CA114" s="771">
        <v>4180850</v>
      </c>
      <c r="CB114" s="771"/>
      <c r="CC114" s="771"/>
      <c r="CD114" s="771"/>
      <c r="CE114" s="771"/>
      <c r="CF114" s="848">
        <v>30.7</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42318</v>
      </c>
      <c r="AB115" s="909"/>
      <c r="AC115" s="909"/>
      <c r="AD115" s="909"/>
      <c r="AE115" s="910"/>
      <c r="AF115" s="911">
        <v>62915</v>
      </c>
      <c r="AG115" s="909"/>
      <c r="AH115" s="909"/>
      <c r="AI115" s="909"/>
      <c r="AJ115" s="910"/>
      <c r="AK115" s="911">
        <v>63796</v>
      </c>
      <c r="AL115" s="909"/>
      <c r="AM115" s="909"/>
      <c r="AN115" s="909"/>
      <c r="AO115" s="910"/>
      <c r="AP115" s="912">
        <v>0.5</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v>128352</v>
      </c>
      <c r="DM115" s="784"/>
      <c r="DN115" s="784"/>
      <c r="DO115" s="784"/>
      <c r="DP115" s="785"/>
      <c r="DQ115" s="786">
        <v>173343</v>
      </c>
      <c r="DR115" s="784"/>
      <c r="DS115" s="784"/>
      <c r="DT115" s="784"/>
      <c r="DU115" s="785"/>
      <c r="DV115" s="754">
        <v>1.3</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53798</v>
      </c>
      <c r="DH116" s="784"/>
      <c r="DI116" s="784"/>
      <c r="DJ116" s="784"/>
      <c r="DK116" s="785"/>
      <c r="DL116" s="786">
        <v>48748</v>
      </c>
      <c r="DM116" s="784"/>
      <c r="DN116" s="784"/>
      <c r="DO116" s="784"/>
      <c r="DP116" s="785"/>
      <c r="DQ116" s="786">
        <v>43697</v>
      </c>
      <c r="DR116" s="784"/>
      <c r="DS116" s="784"/>
      <c r="DT116" s="784"/>
      <c r="DU116" s="785"/>
      <c r="DV116" s="754">
        <v>0.3</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3034665</v>
      </c>
      <c r="AB117" s="895"/>
      <c r="AC117" s="895"/>
      <c r="AD117" s="895"/>
      <c r="AE117" s="896"/>
      <c r="AF117" s="898">
        <v>3027946</v>
      </c>
      <c r="AG117" s="895"/>
      <c r="AH117" s="895"/>
      <c r="AI117" s="895"/>
      <c r="AJ117" s="896"/>
      <c r="AK117" s="898">
        <v>3153409</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40775230</v>
      </c>
      <c r="BR118" s="858"/>
      <c r="BS118" s="858"/>
      <c r="BT118" s="858"/>
      <c r="BU118" s="858"/>
      <c r="BV118" s="858">
        <v>41825768</v>
      </c>
      <c r="BW118" s="858"/>
      <c r="BX118" s="858"/>
      <c r="BY118" s="858"/>
      <c r="BZ118" s="858"/>
      <c r="CA118" s="858">
        <v>42293014</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34113</v>
      </c>
      <c r="AB119" s="873"/>
      <c r="AC119" s="873"/>
      <c r="AD119" s="873"/>
      <c r="AE119" s="874"/>
      <c r="AF119" s="875">
        <v>34141</v>
      </c>
      <c r="AG119" s="873"/>
      <c r="AH119" s="873"/>
      <c r="AI119" s="873"/>
      <c r="AJ119" s="874"/>
      <c r="AK119" s="875">
        <v>34170</v>
      </c>
      <c r="AL119" s="873"/>
      <c r="AM119" s="873"/>
      <c r="AN119" s="873"/>
      <c r="AO119" s="874"/>
      <c r="AP119" s="876">
        <v>0.3</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4172112</v>
      </c>
      <c r="BR119" s="800"/>
      <c r="BS119" s="800"/>
      <c r="BT119" s="800"/>
      <c r="BU119" s="800"/>
      <c r="BV119" s="800">
        <v>5012482</v>
      </c>
      <c r="BW119" s="800"/>
      <c r="BX119" s="800"/>
      <c r="BY119" s="800"/>
      <c r="BZ119" s="800"/>
      <c r="CA119" s="800">
        <v>5089768</v>
      </c>
      <c r="CB119" s="800"/>
      <c r="CC119" s="800"/>
      <c r="CD119" s="800"/>
      <c r="CE119" s="800"/>
      <c r="CF119" s="861">
        <v>37.299999999999997</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8447872</v>
      </c>
      <c r="BR120" s="771"/>
      <c r="BS120" s="771"/>
      <c r="BT120" s="771"/>
      <c r="BU120" s="771"/>
      <c r="BV120" s="771">
        <v>8470988</v>
      </c>
      <c r="BW120" s="771"/>
      <c r="BX120" s="771"/>
      <c r="BY120" s="771"/>
      <c r="BZ120" s="771"/>
      <c r="CA120" s="771">
        <v>8179071</v>
      </c>
      <c r="CB120" s="771"/>
      <c r="CC120" s="771"/>
      <c r="CD120" s="771"/>
      <c r="CE120" s="771"/>
      <c r="CF120" s="848">
        <v>60</v>
      </c>
      <c r="CG120" s="849"/>
      <c r="CH120" s="849"/>
      <c r="CI120" s="849"/>
      <c r="CJ120" s="849"/>
      <c r="CK120" s="850" t="s">
        <v>438</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10028421</v>
      </c>
      <c r="DH120" s="800"/>
      <c r="DI120" s="800"/>
      <c r="DJ120" s="800"/>
      <c r="DK120" s="800"/>
      <c r="DL120" s="800">
        <v>9808934</v>
      </c>
      <c r="DM120" s="800"/>
      <c r="DN120" s="800"/>
      <c r="DO120" s="800"/>
      <c r="DP120" s="800"/>
      <c r="DQ120" s="800">
        <v>9623174</v>
      </c>
      <c r="DR120" s="800"/>
      <c r="DS120" s="800"/>
      <c r="DT120" s="800"/>
      <c r="DU120" s="800"/>
      <c r="DV120" s="801">
        <v>70.599999999999994</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27172645</v>
      </c>
      <c r="BR121" s="858"/>
      <c r="BS121" s="858"/>
      <c r="BT121" s="858"/>
      <c r="BU121" s="858"/>
      <c r="BV121" s="858">
        <v>28129124</v>
      </c>
      <c r="BW121" s="858"/>
      <c r="BX121" s="858"/>
      <c r="BY121" s="858"/>
      <c r="BZ121" s="858"/>
      <c r="CA121" s="858">
        <v>28604822</v>
      </c>
      <c r="CB121" s="858"/>
      <c r="CC121" s="858"/>
      <c r="CD121" s="858"/>
      <c r="CE121" s="858"/>
      <c r="CF121" s="859">
        <v>209.8</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118465</v>
      </c>
      <c r="DH121" s="771"/>
      <c r="DI121" s="771"/>
      <c r="DJ121" s="771"/>
      <c r="DK121" s="771"/>
      <c r="DL121" s="771">
        <v>101672</v>
      </c>
      <c r="DM121" s="771"/>
      <c r="DN121" s="771"/>
      <c r="DO121" s="771"/>
      <c r="DP121" s="771"/>
      <c r="DQ121" s="771">
        <v>94027</v>
      </c>
      <c r="DR121" s="771"/>
      <c r="DS121" s="771"/>
      <c r="DT121" s="771"/>
      <c r="DU121" s="771"/>
      <c r="DV121" s="823">
        <v>0.7</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39792629</v>
      </c>
      <c r="BR122" s="840"/>
      <c r="BS122" s="840"/>
      <c r="BT122" s="840"/>
      <c r="BU122" s="840"/>
      <c r="BV122" s="840">
        <v>41612594</v>
      </c>
      <c r="BW122" s="840"/>
      <c r="BX122" s="840"/>
      <c r="BY122" s="840"/>
      <c r="BZ122" s="840"/>
      <c r="CA122" s="840">
        <v>41873661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4838</v>
      </c>
      <c r="AB123" s="784"/>
      <c r="AC123" s="784"/>
      <c r="AD123" s="784"/>
      <c r="AE123" s="785"/>
      <c r="AF123" s="786">
        <v>5059</v>
      </c>
      <c r="AG123" s="784"/>
      <c r="AH123" s="784"/>
      <c r="AI123" s="784"/>
      <c r="AJ123" s="785"/>
      <c r="AK123" s="786">
        <v>5686</v>
      </c>
      <c r="AL123" s="784"/>
      <c r="AM123" s="784"/>
      <c r="AN123" s="784"/>
      <c r="AO123" s="785"/>
      <c r="AP123" s="754">
        <v>0</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7.4</v>
      </c>
      <c r="BR123" s="832"/>
      <c r="BS123" s="832"/>
      <c r="BT123" s="832"/>
      <c r="BU123" s="832"/>
      <c r="BV123" s="832">
        <v>1.5</v>
      </c>
      <c r="BW123" s="832"/>
      <c r="BX123" s="832"/>
      <c r="BY123" s="832"/>
      <c r="BZ123" s="832"/>
      <c r="CA123" s="832">
        <v>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443</v>
      </c>
      <c r="AB124" s="784"/>
      <c r="AC124" s="784"/>
      <c r="AD124" s="784"/>
      <c r="AE124" s="785"/>
      <c r="AF124" s="786" t="s">
        <v>443</v>
      </c>
      <c r="AG124" s="784"/>
      <c r="AH124" s="784"/>
      <c r="AI124" s="784"/>
      <c r="AJ124" s="785"/>
      <c r="AK124" s="786" t="s">
        <v>443</v>
      </c>
      <c r="AL124" s="784"/>
      <c r="AM124" s="784"/>
      <c r="AN124" s="784"/>
      <c r="AO124" s="785"/>
      <c r="AP124" s="754" t="s">
        <v>443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443</v>
      </c>
      <c r="DH124" s="717"/>
      <c r="DI124" s="717"/>
      <c r="DJ124" s="717"/>
      <c r="DK124" s="718"/>
      <c r="DL124" s="719" t="s">
        <v>443</v>
      </c>
      <c r="DM124" s="717"/>
      <c r="DN124" s="717"/>
      <c r="DO124" s="717"/>
      <c r="DP124" s="718"/>
      <c r="DQ124" s="719" t="s">
        <v>443</v>
      </c>
      <c r="DR124" s="717"/>
      <c r="DS124" s="717"/>
      <c r="DT124" s="717"/>
      <c r="DU124" s="718"/>
      <c r="DV124" s="807" t="s">
        <v>443</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443</v>
      </c>
      <c r="AB125" s="784"/>
      <c r="AC125" s="784"/>
      <c r="AD125" s="784"/>
      <c r="AE125" s="785"/>
      <c r="AF125" s="786" t="s">
        <v>443</v>
      </c>
      <c r="AG125" s="784"/>
      <c r="AH125" s="784"/>
      <c r="AI125" s="784"/>
      <c r="AJ125" s="785"/>
      <c r="AK125" s="786" t="s">
        <v>443</v>
      </c>
      <c r="AL125" s="784"/>
      <c r="AM125" s="784"/>
      <c r="AN125" s="784"/>
      <c r="AO125" s="785"/>
      <c r="AP125" s="754" t="s">
        <v>443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443</v>
      </c>
      <c r="DH125" s="800"/>
      <c r="DI125" s="800"/>
      <c r="DJ125" s="800"/>
      <c r="DK125" s="800"/>
      <c r="DL125" s="800" t="s">
        <v>443</v>
      </c>
      <c r="DM125" s="800"/>
      <c r="DN125" s="800"/>
      <c r="DO125" s="800"/>
      <c r="DP125" s="800"/>
      <c r="DQ125" s="800" t="s">
        <v>443</v>
      </c>
      <c r="DR125" s="800"/>
      <c r="DS125" s="800"/>
      <c r="DT125" s="800"/>
      <c r="DU125" s="800"/>
      <c r="DV125" s="801" t="s">
        <v>443</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3367</v>
      </c>
      <c r="AB126" s="784"/>
      <c r="AC126" s="784"/>
      <c r="AD126" s="784"/>
      <c r="AE126" s="785"/>
      <c r="AF126" s="786">
        <v>23715</v>
      </c>
      <c r="AG126" s="784"/>
      <c r="AH126" s="784"/>
      <c r="AI126" s="784"/>
      <c r="AJ126" s="785"/>
      <c r="AK126" s="786">
        <v>23940</v>
      </c>
      <c r="AL126" s="784"/>
      <c r="AM126" s="784"/>
      <c r="AN126" s="784"/>
      <c r="AO126" s="785"/>
      <c r="AP126" s="754">
        <v>0.2</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443</v>
      </c>
      <c r="DH126" s="771"/>
      <c r="DI126" s="771"/>
      <c r="DJ126" s="771"/>
      <c r="DK126" s="771"/>
      <c r="DL126" s="771" t="s">
        <v>443</v>
      </c>
      <c r="DM126" s="771"/>
      <c r="DN126" s="771"/>
      <c r="DO126" s="771"/>
      <c r="DP126" s="771"/>
      <c r="DQ126" s="771" t="s">
        <v>443</v>
      </c>
      <c r="DR126" s="771"/>
      <c r="DS126" s="771"/>
      <c r="DT126" s="771"/>
      <c r="DU126" s="771"/>
      <c r="DV126" s="823" t="s">
        <v>443</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443</v>
      </c>
      <c r="AB127" s="784"/>
      <c r="AC127" s="784"/>
      <c r="AD127" s="784"/>
      <c r="AE127" s="785"/>
      <c r="AF127" s="786" t="s">
        <v>443</v>
      </c>
      <c r="AG127" s="784"/>
      <c r="AH127" s="784"/>
      <c r="AI127" s="784"/>
      <c r="AJ127" s="785"/>
      <c r="AK127" s="786" t="s">
        <v>443</v>
      </c>
      <c r="AL127" s="784"/>
      <c r="AM127" s="784"/>
      <c r="AN127" s="784"/>
      <c r="AO127" s="785"/>
      <c r="AP127" s="754" t="s">
        <v>443</v>
      </c>
      <c r="AQ127" s="755"/>
      <c r="AR127" s="755"/>
      <c r="AS127" s="755"/>
      <c r="AT127" s="756"/>
      <c r="AU127" s="233"/>
      <c r="AV127" s="233"/>
      <c r="AW127" s="233"/>
      <c r="AX127" s="757" t="s">
        <v>453</v>
      </c>
      <c r="AY127" s="758"/>
      <c r="AZ127" s="758"/>
      <c r="BA127" s="758"/>
      <c r="BB127" s="758"/>
      <c r="BC127" s="758"/>
      <c r="BD127" s="758"/>
      <c r="BE127" s="759"/>
      <c r="BF127" s="760" t="s">
        <v>443</v>
      </c>
      <c r="BG127" s="761"/>
      <c r="BH127" s="761"/>
      <c r="BI127" s="761"/>
      <c r="BJ127" s="761"/>
      <c r="BK127" s="761"/>
      <c r="BL127" s="762"/>
      <c r="BM127" s="760">
        <v>12.72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765440</v>
      </c>
      <c r="AB128" s="724"/>
      <c r="AC128" s="724"/>
      <c r="AD128" s="724"/>
      <c r="AE128" s="725"/>
      <c r="AF128" s="726">
        <v>766878</v>
      </c>
      <c r="AG128" s="724"/>
      <c r="AH128" s="724"/>
      <c r="AI128" s="724"/>
      <c r="AJ128" s="725"/>
      <c r="AK128" s="726">
        <v>784929</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112</v>
      </c>
      <c r="BG128" s="791"/>
      <c r="BH128" s="791"/>
      <c r="BI128" s="791"/>
      <c r="BJ128" s="791"/>
      <c r="BK128" s="791"/>
      <c r="BL128" s="792"/>
      <c r="BM128" s="790">
        <v>17.72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15315537</v>
      </c>
      <c r="AB129" s="784"/>
      <c r="AC129" s="784"/>
      <c r="AD129" s="784"/>
      <c r="AE129" s="785"/>
      <c r="AF129" s="786">
        <v>15676016</v>
      </c>
      <c r="AG129" s="784"/>
      <c r="AH129" s="784"/>
      <c r="AI129" s="784"/>
      <c r="AJ129" s="785"/>
      <c r="AK129" s="786">
        <v>15856430</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2082194</v>
      </c>
      <c r="AB130" s="784"/>
      <c r="AC130" s="784"/>
      <c r="AD130" s="784"/>
      <c r="AE130" s="785"/>
      <c r="AF130" s="786">
        <v>2096681</v>
      </c>
      <c r="AG130" s="784"/>
      <c r="AH130" s="784"/>
      <c r="AI130" s="784"/>
      <c r="AJ130" s="785"/>
      <c r="AK130" s="786">
        <v>2223301</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13233343</v>
      </c>
      <c r="AB131" s="717"/>
      <c r="AC131" s="717"/>
      <c r="AD131" s="717"/>
      <c r="AE131" s="718"/>
      <c r="AF131" s="719">
        <v>13579335</v>
      </c>
      <c r="AG131" s="717"/>
      <c r="AH131" s="717"/>
      <c r="AI131" s="717"/>
      <c r="AJ131" s="718"/>
      <c r="AK131" s="719">
        <v>13633129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1.4133314610000001</v>
      </c>
      <c r="AB132" s="740"/>
      <c r="AC132" s="740"/>
      <c r="AD132" s="740"/>
      <c r="AE132" s="741"/>
      <c r="AF132" s="742">
        <v>1.2105673809999999</v>
      </c>
      <c r="AG132" s="740"/>
      <c r="AH132" s="740"/>
      <c r="AI132" s="740"/>
      <c r="AJ132" s="741"/>
      <c r="AK132" s="742">
        <v>1.0648986009999999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3</v>
      </c>
      <c r="AB133" s="749"/>
      <c r="AC133" s="749"/>
      <c r="AD133" s="749"/>
      <c r="AE133" s="750"/>
      <c r="AF133" s="748">
        <v>1.4</v>
      </c>
      <c r="AG133" s="749"/>
      <c r="AH133" s="749"/>
      <c r="AI133" s="749"/>
      <c r="AJ133" s="750"/>
      <c r="AK133" s="748">
        <v>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S10" zoomScaleNormal="85" zoomScaleSheetLayoutView="55" workbookViewId="0">
      <selection activeCell="N30" sqref="N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L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4863712</v>
      </c>
      <c r="L9" s="264">
        <v>60628</v>
      </c>
      <c r="M9" s="265">
        <v>64132</v>
      </c>
      <c r="N9" s="266">
        <v>-5.5</v>
      </c>
    </row>
    <row r="10" spans="1:16">
      <c r="A10" s="248"/>
      <c r="B10" s="244"/>
      <c r="C10" s="244"/>
      <c r="D10" s="244"/>
      <c r="E10" s="244"/>
      <c r="F10" s="244"/>
      <c r="G10" s="1133" t="s">
        <v>475</v>
      </c>
      <c r="H10" s="1134"/>
      <c r="I10" s="1134"/>
      <c r="J10" s="1135"/>
      <c r="K10" s="267">
        <v>121924</v>
      </c>
      <c r="L10" s="268">
        <v>1520</v>
      </c>
      <c r="M10" s="269">
        <v>4759</v>
      </c>
      <c r="N10" s="270">
        <v>-68.099999999999994</v>
      </c>
    </row>
    <row r="11" spans="1:16" ht="13.5" customHeight="1">
      <c r="A11" s="248"/>
      <c r="B11" s="244"/>
      <c r="C11" s="244"/>
      <c r="D11" s="244"/>
      <c r="E11" s="244"/>
      <c r="F11" s="244"/>
      <c r="G11" s="1133" t="s">
        <v>476</v>
      </c>
      <c r="H11" s="1134"/>
      <c r="I11" s="1134"/>
      <c r="J11" s="1135"/>
      <c r="K11" s="267">
        <v>946353</v>
      </c>
      <c r="L11" s="268">
        <v>11797</v>
      </c>
      <c r="M11" s="269">
        <v>6846</v>
      </c>
      <c r="N11" s="270">
        <v>72.3</v>
      </c>
    </row>
    <row r="12" spans="1:16" ht="13.5" customHeight="1">
      <c r="A12" s="248"/>
      <c r="B12" s="244"/>
      <c r="C12" s="244"/>
      <c r="D12" s="244"/>
      <c r="E12" s="244"/>
      <c r="F12" s="244"/>
      <c r="G12" s="1133" t="s">
        <v>477</v>
      </c>
      <c r="H12" s="1134"/>
      <c r="I12" s="1134"/>
      <c r="J12" s="1135"/>
      <c r="K12" s="267" t="s">
        <v>478</v>
      </c>
      <c r="L12" s="268" t="s">
        <v>478</v>
      </c>
      <c r="M12" s="269">
        <v>2642</v>
      </c>
      <c r="N12" s="270" t="s">
        <v>478</v>
      </c>
    </row>
    <row r="13" spans="1:16" ht="13.5" customHeight="1">
      <c r="A13" s="248"/>
      <c r="B13" s="244"/>
      <c r="C13" s="244"/>
      <c r="D13" s="244"/>
      <c r="E13" s="244"/>
      <c r="F13" s="244"/>
      <c r="G13" s="1133" t="s">
        <v>479</v>
      </c>
      <c r="H13" s="1134"/>
      <c r="I13" s="1134"/>
      <c r="J13" s="1135"/>
      <c r="K13" s="267" t="s">
        <v>478</v>
      </c>
      <c r="L13" s="268" t="s">
        <v>478</v>
      </c>
      <c r="M13" s="269" t="s">
        <v>478</v>
      </c>
      <c r="N13" s="270" t="s">
        <v>478</v>
      </c>
    </row>
    <row r="14" spans="1:16" ht="13.5" customHeight="1">
      <c r="A14" s="248"/>
      <c r="B14" s="244"/>
      <c r="C14" s="244"/>
      <c r="D14" s="244"/>
      <c r="E14" s="244"/>
      <c r="F14" s="244"/>
      <c r="G14" s="1133" t="s">
        <v>480</v>
      </c>
      <c r="H14" s="1134"/>
      <c r="I14" s="1134"/>
      <c r="J14" s="1135"/>
      <c r="K14" s="267">
        <v>230890</v>
      </c>
      <c r="L14" s="268">
        <v>2878</v>
      </c>
      <c r="M14" s="269">
        <v>3108</v>
      </c>
      <c r="N14" s="270">
        <v>-7.4</v>
      </c>
    </row>
    <row r="15" spans="1:16" ht="13.5" customHeight="1">
      <c r="A15" s="248"/>
      <c r="B15" s="244"/>
      <c r="C15" s="244"/>
      <c r="D15" s="244"/>
      <c r="E15" s="244"/>
      <c r="F15" s="244"/>
      <c r="G15" s="1133" t="s">
        <v>481</v>
      </c>
      <c r="H15" s="1134"/>
      <c r="I15" s="1134"/>
      <c r="J15" s="1135"/>
      <c r="K15" s="267">
        <v>94538</v>
      </c>
      <c r="L15" s="268">
        <v>1178</v>
      </c>
      <c r="M15" s="269">
        <v>833</v>
      </c>
      <c r="N15" s="270">
        <v>41.4</v>
      </c>
    </row>
    <row r="16" spans="1:16">
      <c r="A16" s="248"/>
      <c r="B16" s="244"/>
      <c r="C16" s="244"/>
      <c r="D16" s="244"/>
      <c r="E16" s="244"/>
      <c r="F16" s="244"/>
      <c r="G16" s="1136" t="s">
        <v>482</v>
      </c>
      <c r="H16" s="1137"/>
      <c r="I16" s="1137"/>
      <c r="J16" s="1138"/>
      <c r="K16" s="268">
        <v>-659764</v>
      </c>
      <c r="L16" s="268">
        <v>-8224</v>
      </c>
      <c r="M16" s="269">
        <v>-6910</v>
      </c>
      <c r="N16" s="270">
        <v>19</v>
      </c>
    </row>
    <row r="17" spans="1:16">
      <c r="A17" s="248"/>
      <c r="B17" s="244"/>
      <c r="C17" s="244"/>
      <c r="D17" s="244"/>
      <c r="E17" s="244"/>
      <c r="F17" s="244"/>
      <c r="G17" s="1136" t="s">
        <v>170</v>
      </c>
      <c r="H17" s="1137"/>
      <c r="I17" s="1137"/>
      <c r="J17" s="1138"/>
      <c r="K17" s="268">
        <v>5597653</v>
      </c>
      <c r="L17" s="268">
        <v>69777</v>
      </c>
      <c r="M17" s="269">
        <v>75409</v>
      </c>
      <c r="N17" s="270">
        <v>-7.5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6.16</v>
      </c>
      <c r="L21" s="281">
        <v>6.67</v>
      </c>
      <c r="M21" s="282">
        <v>-0.51</v>
      </c>
      <c r="N21" s="249"/>
      <c r="O21" s="283"/>
      <c r="P21" s="279"/>
    </row>
    <row r="22" spans="1:16" s="284" customFormat="1">
      <c r="A22" s="279"/>
      <c r="B22" s="249"/>
      <c r="C22" s="249"/>
      <c r="D22" s="249"/>
      <c r="E22" s="249"/>
      <c r="F22" s="249"/>
      <c r="G22" s="1130" t="s">
        <v>488</v>
      </c>
      <c r="H22" s="1131"/>
      <c r="I22" s="1131"/>
      <c r="J22" s="1132"/>
      <c r="K22" s="285">
        <v>99.3</v>
      </c>
      <c r="L22" s="286">
        <v>97.7</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2152324</v>
      </c>
      <c r="L32" s="294">
        <v>26830</v>
      </c>
      <c r="M32" s="295">
        <v>41879</v>
      </c>
      <c r="N32" s="296">
        <v>-35.9</v>
      </c>
    </row>
    <row r="33" spans="1:16" ht="13.5" customHeight="1">
      <c r="A33" s="248"/>
      <c r="B33" s="244"/>
      <c r="C33" s="244"/>
      <c r="D33" s="244"/>
      <c r="E33" s="244"/>
      <c r="F33" s="244"/>
      <c r="G33" s="1121" t="s">
        <v>492</v>
      </c>
      <c r="H33" s="1122"/>
      <c r="I33" s="1122"/>
      <c r="J33" s="1123"/>
      <c r="K33" s="294" t="s">
        <v>478</v>
      </c>
      <c r="L33" s="294" t="s">
        <v>478</v>
      </c>
      <c r="M33" s="295" t="s">
        <v>478</v>
      </c>
      <c r="N33" s="296" t="s">
        <v>478</v>
      </c>
    </row>
    <row r="34" spans="1:16" ht="27" customHeight="1">
      <c r="A34" s="248"/>
      <c r="B34" s="244"/>
      <c r="C34" s="244"/>
      <c r="D34" s="244"/>
      <c r="E34" s="244"/>
      <c r="F34" s="244"/>
      <c r="G34" s="1121" t="s">
        <v>493</v>
      </c>
      <c r="H34" s="1122"/>
      <c r="I34" s="1122"/>
      <c r="J34" s="1123"/>
      <c r="K34" s="294" t="s">
        <v>478</v>
      </c>
      <c r="L34" s="294" t="s">
        <v>478</v>
      </c>
      <c r="M34" s="295">
        <v>49</v>
      </c>
      <c r="N34" s="296" t="s">
        <v>478</v>
      </c>
    </row>
    <row r="35" spans="1:16" ht="27" customHeight="1">
      <c r="A35" s="248"/>
      <c r="B35" s="244"/>
      <c r="C35" s="244"/>
      <c r="D35" s="244"/>
      <c r="E35" s="244"/>
      <c r="F35" s="244"/>
      <c r="G35" s="1121" t="s">
        <v>494</v>
      </c>
      <c r="H35" s="1122"/>
      <c r="I35" s="1122"/>
      <c r="J35" s="1123"/>
      <c r="K35" s="294">
        <v>672513</v>
      </c>
      <c r="L35" s="294">
        <v>8383</v>
      </c>
      <c r="M35" s="295">
        <v>11799</v>
      </c>
      <c r="N35" s="296">
        <v>-29</v>
      </c>
    </row>
    <row r="36" spans="1:16" ht="27" customHeight="1">
      <c r="A36" s="248"/>
      <c r="B36" s="244"/>
      <c r="C36" s="244"/>
      <c r="D36" s="244"/>
      <c r="E36" s="244"/>
      <c r="F36" s="244"/>
      <c r="G36" s="1121" t="s">
        <v>495</v>
      </c>
      <c r="H36" s="1122"/>
      <c r="I36" s="1122"/>
      <c r="J36" s="1123"/>
      <c r="K36" s="294">
        <v>264776</v>
      </c>
      <c r="L36" s="294">
        <v>3301</v>
      </c>
      <c r="M36" s="295">
        <v>1919</v>
      </c>
      <c r="N36" s="296">
        <v>72</v>
      </c>
    </row>
    <row r="37" spans="1:16" ht="13.5" customHeight="1">
      <c r="A37" s="248"/>
      <c r="B37" s="244"/>
      <c r="C37" s="244"/>
      <c r="D37" s="244"/>
      <c r="E37" s="244"/>
      <c r="F37" s="244"/>
      <c r="G37" s="1121" t="s">
        <v>496</v>
      </c>
      <c r="H37" s="1122"/>
      <c r="I37" s="1122"/>
      <c r="J37" s="1123"/>
      <c r="K37" s="294">
        <v>63796</v>
      </c>
      <c r="L37" s="294">
        <v>795</v>
      </c>
      <c r="M37" s="295">
        <v>391</v>
      </c>
      <c r="N37" s="296">
        <v>103.3</v>
      </c>
    </row>
    <row r="38" spans="1:16" ht="27" customHeight="1">
      <c r="A38" s="248"/>
      <c r="B38" s="244"/>
      <c r="C38" s="244"/>
      <c r="D38" s="244"/>
      <c r="E38" s="244"/>
      <c r="F38" s="244"/>
      <c r="G38" s="1124" t="s">
        <v>497</v>
      </c>
      <c r="H38" s="1125"/>
      <c r="I38" s="1125"/>
      <c r="J38" s="1126"/>
      <c r="K38" s="297" t="s">
        <v>478</v>
      </c>
      <c r="L38" s="297" t="s">
        <v>478</v>
      </c>
      <c r="M38" s="298">
        <v>3</v>
      </c>
      <c r="N38" s="299" t="s">
        <v>478</v>
      </c>
      <c r="O38" s="293"/>
    </row>
    <row r="39" spans="1:16">
      <c r="A39" s="248"/>
      <c r="B39" s="244"/>
      <c r="C39" s="244"/>
      <c r="D39" s="244"/>
      <c r="E39" s="244"/>
      <c r="F39" s="244"/>
      <c r="G39" s="1124" t="s">
        <v>498</v>
      </c>
      <c r="H39" s="1125"/>
      <c r="I39" s="1125"/>
      <c r="J39" s="1126"/>
      <c r="K39" s="300">
        <v>-784929</v>
      </c>
      <c r="L39" s="300">
        <v>-9784</v>
      </c>
      <c r="M39" s="301">
        <v>-8446</v>
      </c>
      <c r="N39" s="302">
        <v>15.8</v>
      </c>
      <c r="O39" s="293"/>
    </row>
    <row r="40" spans="1:16" ht="27" customHeight="1">
      <c r="A40" s="248"/>
      <c r="B40" s="244"/>
      <c r="C40" s="244"/>
      <c r="D40" s="244"/>
      <c r="E40" s="244"/>
      <c r="F40" s="244"/>
      <c r="G40" s="1121" t="s">
        <v>499</v>
      </c>
      <c r="H40" s="1122"/>
      <c r="I40" s="1122"/>
      <c r="J40" s="1123"/>
      <c r="K40" s="300">
        <v>-2223301</v>
      </c>
      <c r="L40" s="300">
        <v>-27714</v>
      </c>
      <c r="M40" s="301">
        <v>-30378</v>
      </c>
      <c r="N40" s="302">
        <v>-8.8000000000000007</v>
      </c>
      <c r="O40" s="293"/>
    </row>
    <row r="41" spans="1:16">
      <c r="A41" s="248"/>
      <c r="B41" s="244"/>
      <c r="C41" s="244"/>
      <c r="D41" s="244"/>
      <c r="E41" s="244"/>
      <c r="F41" s="244"/>
      <c r="G41" s="1127" t="s">
        <v>281</v>
      </c>
      <c r="H41" s="1128"/>
      <c r="I41" s="1128"/>
      <c r="J41" s="1129"/>
      <c r="K41" s="294">
        <v>145179</v>
      </c>
      <c r="L41" s="300">
        <v>1810</v>
      </c>
      <c r="M41" s="301">
        <v>17216</v>
      </c>
      <c r="N41" s="302">
        <v>-89.5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3447780</v>
      </c>
      <c r="J51" s="320">
        <v>43411</v>
      </c>
      <c r="K51" s="321">
        <v>56.2</v>
      </c>
      <c r="L51" s="322">
        <v>40203</v>
      </c>
      <c r="M51" s="323">
        <v>4.3</v>
      </c>
      <c r="N51" s="324">
        <v>51.9</v>
      </c>
    </row>
    <row r="52" spans="1:14">
      <c r="A52" s="248"/>
      <c r="B52" s="244"/>
      <c r="C52" s="244"/>
      <c r="D52" s="244"/>
      <c r="E52" s="244"/>
      <c r="F52" s="244"/>
      <c r="G52" s="325"/>
      <c r="H52" s="326" t="s">
        <v>510</v>
      </c>
      <c r="I52" s="327">
        <v>1591058</v>
      </c>
      <c r="J52" s="328">
        <v>20033</v>
      </c>
      <c r="K52" s="329">
        <v>69.3</v>
      </c>
      <c r="L52" s="330">
        <v>23352</v>
      </c>
      <c r="M52" s="331">
        <v>-3.6</v>
      </c>
      <c r="N52" s="332">
        <v>72.900000000000006</v>
      </c>
    </row>
    <row r="53" spans="1:14">
      <c r="A53" s="248"/>
      <c r="B53" s="244"/>
      <c r="C53" s="244"/>
      <c r="D53" s="244"/>
      <c r="E53" s="244"/>
      <c r="F53" s="244"/>
      <c r="G53" s="310" t="s">
        <v>511</v>
      </c>
      <c r="H53" s="311"/>
      <c r="I53" s="319">
        <v>2164715</v>
      </c>
      <c r="J53" s="320">
        <v>27265</v>
      </c>
      <c r="K53" s="321">
        <v>-37.200000000000003</v>
      </c>
      <c r="L53" s="322">
        <v>33364</v>
      </c>
      <c r="M53" s="323">
        <v>-17</v>
      </c>
      <c r="N53" s="324">
        <v>-20.2</v>
      </c>
    </row>
    <row r="54" spans="1:14">
      <c r="A54" s="248"/>
      <c r="B54" s="244"/>
      <c r="C54" s="244"/>
      <c r="D54" s="244"/>
      <c r="E54" s="244"/>
      <c r="F54" s="244"/>
      <c r="G54" s="325"/>
      <c r="H54" s="326" t="s">
        <v>510</v>
      </c>
      <c r="I54" s="327">
        <v>1199979</v>
      </c>
      <c r="J54" s="328">
        <v>15114</v>
      </c>
      <c r="K54" s="329">
        <v>-24.6</v>
      </c>
      <c r="L54" s="330">
        <v>21557</v>
      </c>
      <c r="M54" s="331">
        <v>-7.7</v>
      </c>
      <c r="N54" s="332">
        <v>-16.899999999999999</v>
      </c>
    </row>
    <row r="55" spans="1:14">
      <c r="A55" s="248"/>
      <c r="B55" s="244"/>
      <c r="C55" s="244"/>
      <c r="D55" s="244"/>
      <c r="E55" s="244"/>
      <c r="F55" s="244"/>
      <c r="G55" s="310" t="s">
        <v>512</v>
      </c>
      <c r="H55" s="311"/>
      <c r="I55" s="319">
        <v>1984124</v>
      </c>
      <c r="J55" s="320">
        <v>24756</v>
      </c>
      <c r="K55" s="321">
        <v>-9.1999999999999993</v>
      </c>
      <c r="L55" s="322">
        <v>36396</v>
      </c>
      <c r="M55" s="323">
        <v>9.1</v>
      </c>
      <c r="N55" s="324">
        <v>-18.3</v>
      </c>
    </row>
    <row r="56" spans="1:14">
      <c r="A56" s="248"/>
      <c r="B56" s="244"/>
      <c r="C56" s="244"/>
      <c r="D56" s="244"/>
      <c r="E56" s="244"/>
      <c r="F56" s="244"/>
      <c r="G56" s="325"/>
      <c r="H56" s="326" t="s">
        <v>510</v>
      </c>
      <c r="I56" s="327">
        <v>876469</v>
      </c>
      <c r="J56" s="328">
        <v>10936</v>
      </c>
      <c r="K56" s="329">
        <v>-27.6</v>
      </c>
      <c r="L56" s="330">
        <v>19057</v>
      </c>
      <c r="M56" s="331">
        <v>-11.6</v>
      </c>
      <c r="N56" s="332">
        <v>-16</v>
      </c>
    </row>
    <row r="57" spans="1:14">
      <c r="A57" s="248"/>
      <c r="B57" s="244"/>
      <c r="C57" s="244"/>
      <c r="D57" s="244"/>
      <c r="E57" s="244"/>
      <c r="F57" s="244"/>
      <c r="G57" s="310" t="s">
        <v>513</v>
      </c>
      <c r="H57" s="311"/>
      <c r="I57" s="319">
        <v>4254392</v>
      </c>
      <c r="J57" s="320">
        <v>53012</v>
      </c>
      <c r="K57" s="321">
        <v>114.1</v>
      </c>
      <c r="L57" s="322">
        <v>62256</v>
      </c>
      <c r="M57" s="323">
        <v>71.099999999999994</v>
      </c>
      <c r="N57" s="324">
        <v>43</v>
      </c>
    </row>
    <row r="58" spans="1:14">
      <c r="A58" s="248"/>
      <c r="B58" s="244"/>
      <c r="C58" s="244"/>
      <c r="D58" s="244"/>
      <c r="E58" s="244"/>
      <c r="F58" s="244"/>
      <c r="G58" s="325"/>
      <c r="H58" s="326" t="s">
        <v>510</v>
      </c>
      <c r="I58" s="327">
        <v>1178303</v>
      </c>
      <c r="J58" s="328">
        <v>14682</v>
      </c>
      <c r="K58" s="329">
        <v>34.299999999999997</v>
      </c>
      <c r="L58" s="330">
        <v>24482</v>
      </c>
      <c r="M58" s="331">
        <v>28.5</v>
      </c>
      <c r="N58" s="332">
        <v>5.8</v>
      </c>
    </row>
    <row r="59" spans="1:14">
      <c r="A59" s="248"/>
      <c r="B59" s="244"/>
      <c r="C59" s="244"/>
      <c r="D59" s="244"/>
      <c r="E59" s="244"/>
      <c r="F59" s="244"/>
      <c r="G59" s="310" t="s">
        <v>514</v>
      </c>
      <c r="H59" s="311"/>
      <c r="I59" s="319">
        <v>3555911</v>
      </c>
      <c r="J59" s="320">
        <v>44326</v>
      </c>
      <c r="K59" s="321">
        <v>-16.399999999999999</v>
      </c>
      <c r="L59" s="322">
        <v>53896</v>
      </c>
      <c r="M59" s="323">
        <v>-13.4</v>
      </c>
      <c r="N59" s="324">
        <v>-3</v>
      </c>
    </row>
    <row r="60" spans="1:14">
      <c r="A60" s="248"/>
      <c r="B60" s="244"/>
      <c r="C60" s="244"/>
      <c r="D60" s="244"/>
      <c r="E60" s="244"/>
      <c r="F60" s="244"/>
      <c r="G60" s="325"/>
      <c r="H60" s="326" t="s">
        <v>510</v>
      </c>
      <c r="I60" s="333">
        <v>1394300</v>
      </c>
      <c r="J60" s="328">
        <v>17381</v>
      </c>
      <c r="K60" s="329">
        <v>18.399999999999999</v>
      </c>
      <c r="L60" s="330">
        <v>20608</v>
      </c>
      <c r="M60" s="331">
        <v>-15.8</v>
      </c>
      <c r="N60" s="332">
        <v>34.200000000000003</v>
      </c>
    </row>
    <row r="61" spans="1:14">
      <c r="A61" s="248"/>
      <c r="B61" s="244"/>
      <c r="C61" s="244"/>
      <c r="D61" s="244"/>
      <c r="E61" s="244"/>
      <c r="F61" s="244"/>
      <c r="G61" s="310" t="s">
        <v>515</v>
      </c>
      <c r="H61" s="334"/>
      <c r="I61" s="335">
        <v>3081384</v>
      </c>
      <c r="J61" s="336">
        <v>38554</v>
      </c>
      <c r="K61" s="337">
        <v>21.5</v>
      </c>
      <c r="L61" s="338">
        <v>45223</v>
      </c>
      <c r="M61" s="339">
        <v>10.8</v>
      </c>
      <c r="N61" s="324">
        <v>10.7</v>
      </c>
    </row>
    <row r="62" spans="1:14">
      <c r="A62" s="248"/>
      <c r="B62" s="244"/>
      <c r="C62" s="244"/>
      <c r="D62" s="244"/>
      <c r="E62" s="244"/>
      <c r="F62" s="244"/>
      <c r="G62" s="325"/>
      <c r="H62" s="326" t="s">
        <v>510</v>
      </c>
      <c r="I62" s="327">
        <v>1248022</v>
      </c>
      <c r="J62" s="328">
        <v>15629</v>
      </c>
      <c r="K62" s="329">
        <v>14</v>
      </c>
      <c r="L62" s="330">
        <v>21811</v>
      </c>
      <c r="M62" s="331">
        <v>-2</v>
      </c>
      <c r="N62" s="332">
        <v>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7"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15.27</v>
      </c>
      <c r="G47" s="12">
        <v>17.260000000000002</v>
      </c>
      <c r="H47" s="12">
        <v>16.96</v>
      </c>
      <c r="I47" s="12">
        <v>18.21</v>
      </c>
      <c r="J47" s="13">
        <v>18.05</v>
      </c>
    </row>
    <row r="48" spans="2:10" ht="57.75" customHeight="1">
      <c r="B48" s="14"/>
      <c r="C48" s="1141" t="s">
        <v>4</v>
      </c>
      <c r="D48" s="1141"/>
      <c r="E48" s="1142"/>
      <c r="F48" s="15">
        <v>4.32</v>
      </c>
      <c r="G48" s="16">
        <v>3.78</v>
      </c>
      <c r="H48" s="16">
        <v>4.29</v>
      </c>
      <c r="I48" s="16">
        <v>4.4000000000000004</v>
      </c>
      <c r="J48" s="17">
        <v>4.99</v>
      </c>
    </row>
    <row r="49" spans="2:10" ht="57.75" customHeight="1" thickBot="1">
      <c r="B49" s="18"/>
      <c r="C49" s="1143" t="s">
        <v>5</v>
      </c>
      <c r="D49" s="1143"/>
      <c r="E49" s="1144"/>
      <c r="F49" s="19">
        <v>4.7699999999999996</v>
      </c>
      <c r="G49" s="20">
        <v>1.61</v>
      </c>
      <c r="H49" s="20">
        <v>0.61</v>
      </c>
      <c r="I49" s="20">
        <v>1.84</v>
      </c>
      <c r="J49" s="21">
        <v>0.68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522</v>
      </c>
      <c r="D34" s="1151"/>
      <c r="E34" s="1152"/>
      <c r="F34" s="32">
        <v>10.1</v>
      </c>
      <c r="G34" s="33">
        <v>10.44</v>
      </c>
      <c r="H34" s="33">
        <v>10.17</v>
      </c>
      <c r="I34" s="33">
        <v>11.11</v>
      </c>
      <c r="J34" s="34">
        <v>9.9700000000000006</v>
      </c>
      <c r="K34" s="22"/>
      <c r="L34" s="22"/>
      <c r="M34" s="22"/>
      <c r="N34" s="22"/>
      <c r="O34" s="22"/>
      <c r="P34" s="22"/>
    </row>
    <row r="35" spans="1:16" ht="39" customHeight="1">
      <c r="A35" s="22"/>
      <c r="B35" s="35"/>
      <c r="C35" s="1145" t="s">
        <v>523</v>
      </c>
      <c r="D35" s="1146"/>
      <c r="E35" s="1147"/>
      <c r="F35" s="36">
        <v>4.22</v>
      </c>
      <c r="G35" s="37">
        <v>3.68</v>
      </c>
      <c r="H35" s="37">
        <v>4.2</v>
      </c>
      <c r="I35" s="37">
        <v>4.3</v>
      </c>
      <c r="J35" s="38">
        <v>4.8899999999999997</v>
      </c>
      <c r="K35" s="22"/>
      <c r="L35" s="22"/>
      <c r="M35" s="22"/>
      <c r="N35" s="22"/>
      <c r="O35" s="22"/>
      <c r="P35" s="22"/>
    </row>
    <row r="36" spans="1:16" ht="39" customHeight="1">
      <c r="A36" s="22"/>
      <c r="B36" s="35"/>
      <c r="C36" s="1145" t="s">
        <v>524</v>
      </c>
      <c r="D36" s="1146"/>
      <c r="E36" s="1147"/>
      <c r="F36" s="36">
        <v>0.06</v>
      </c>
      <c r="G36" s="37">
        <v>0.6</v>
      </c>
      <c r="H36" s="37">
        <v>0.97</v>
      </c>
      <c r="I36" s="37">
        <v>2.4900000000000002</v>
      </c>
      <c r="J36" s="38">
        <v>2.4900000000000002</v>
      </c>
      <c r="K36" s="22"/>
      <c r="L36" s="22"/>
      <c r="M36" s="22"/>
      <c r="N36" s="22"/>
      <c r="O36" s="22"/>
      <c r="P36" s="22"/>
    </row>
    <row r="37" spans="1:16" ht="39" customHeight="1">
      <c r="A37" s="22"/>
      <c r="B37" s="35"/>
      <c r="C37" s="1145" t="s">
        <v>525</v>
      </c>
      <c r="D37" s="1146"/>
      <c r="E37" s="1147"/>
      <c r="F37" s="36">
        <v>0.15</v>
      </c>
      <c r="G37" s="37">
        <v>0</v>
      </c>
      <c r="H37" s="37">
        <v>0.53</v>
      </c>
      <c r="I37" s="37">
        <v>0.61</v>
      </c>
      <c r="J37" s="38">
        <v>0.61</v>
      </c>
      <c r="K37" s="22"/>
      <c r="L37" s="22"/>
      <c r="M37" s="22"/>
      <c r="N37" s="22"/>
      <c r="O37" s="22"/>
      <c r="P37" s="22"/>
    </row>
    <row r="38" spans="1:16" ht="39" customHeight="1">
      <c r="A38" s="22"/>
      <c r="B38" s="35"/>
      <c r="C38" s="1145" t="s">
        <v>526</v>
      </c>
      <c r="D38" s="1146"/>
      <c r="E38" s="1147"/>
      <c r="F38" s="36">
        <v>0.2</v>
      </c>
      <c r="G38" s="37">
        <v>0.21</v>
      </c>
      <c r="H38" s="37">
        <v>0.26</v>
      </c>
      <c r="I38" s="37">
        <v>0.25</v>
      </c>
      <c r="J38" s="38">
        <v>0.26</v>
      </c>
      <c r="K38" s="22"/>
      <c r="L38" s="22"/>
      <c r="M38" s="22"/>
      <c r="N38" s="22"/>
      <c r="O38" s="22"/>
      <c r="P38" s="22"/>
    </row>
    <row r="39" spans="1:16" ht="39" customHeight="1">
      <c r="A39" s="22"/>
      <c r="B39" s="35"/>
      <c r="C39" s="1145" t="s">
        <v>527</v>
      </c>
      <c r="D39" s="1146"/>
      <c r="E39" s="1147"/>
      <c r="F39" s="36">
        <v>0.09</v>
      </c>
      <c r="G39" s="37">
        <v>0.09</v>
      </c>
      <c r="H39" s="37">
        <v>0.08</v>
      </c>
      <c r="I39" s="37">
        <v>0.09</v>
      </c>
      <c r="J39" s="38">
        <v>0.09</v>
      </c>
      <c r="K39" s="22"/>
      <c r="L39" s="22"/>
      <c r="M39" s="22"/>
      <c r="N39" s="22"/>
      <c r="O39" s="22"/>
      <c r="P39" s="22"/>
    </row>
    <row r="40" spans="1:16" ht="39" customHeight="1">
      <c r="A40" s="22"/>
      <c r="B40" s="35"/>
      <c r="C40" s="1145" t="s">
        <v>528</v>
      </c>
      <c r="D40" s="1146"/>
      <c r="E40" s="1147"/>
      <c r="F40" s="36">
        <v>0.03</v>
      </c>
      <c r="G40" s="37">
        <v>0.02</v>
      </c>
      <c r="H40" s="37">
        <v>0.02</v>
      </c>
      <c r="I40" s="37">
        <v>0.04</v>
      </c>
      <c r="J40" s="38">
        <v>0.06</v>
      </c>
      <c r="K40" s="22"/>
      <c r="L40" s="22"/>
      <c r="M40" s="22"/>
      <c r="N40" s="22"/>
      <c r="O40" s="22"/>
      <c r="P40" s="22"/>
    </row>
    <row r="41" spans="1:16" ht="39" customHeight="1">
      <c r="A41" s="22"/>
      <c r="B41" s="35"/>
      <c r="C41" s="1145" t="s">
        <v>529</v>
      </c>
      <c r="D41" s="1146"/>
      <c r="E41" s="1147"/>
      <c r="F41" s="36">
        <v>0.03</v>
      </c>
      <c r="G41" s="37">
        <v>0.03</v>
      </c>
      <c r="H41" s="37">
        <v>0.03</v>
      </c>
      <c r="I41" s="37">
        <v>0.01</v>
      </c>
      <c r="J41" s="38">
        <v>0.01</v>
      </c>
      <c r="K41" s="22"/>
      <c r="L41" s="22"/>
      <c r="M41" s="22"/>
      <c r="N41" s="22"/>
      <c r="O41" s="22"/>
      <c r="P41" s="22"/>
    </row>
    <row r="42" spans="1:16" ht="39" customHeight="1">
      <c r="A42" s="22"/>
      <c r="B42" s="39"/>
      <c r="C42" s="1145" t="s">
        <v>530</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531</v>
      </c>
      <c r="D43" s="1149"/>
      <c r="E43" s="1150"/>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37" zoomScale="90" zoomScaleNormal="90" zoomScaleSheetLayoutView="55" workbookViewId="0">
      <selection activeCell="E52" sqref="E52:J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2211</v>
      </c>
      <c r="L45" s="60">
        <v>2107</v>
      </c>
      <c r="M45" s="60">
        <v>2074</v>
      </c>
      <c r="N45" s="60">
        <v>2067</v>
      </c>
      <c r="O45" s="61">
        <v>2152</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665</v>
      </c>
      <c r="L48" s="64">
        <v>664</v>
      </c>
      <c r="M48" s="64">
        <v>651</v>
      </c>
      <c r="N48" s="64">
        <v>662</v>
      </c>
      <c r="O48" s="65">
        <v>673</v>
      </c>
      <c r="P48" s="48"/>
      <c r="Q48" s="48"/>
      <c r="R48" s="48"/>
      <c r="S48" s="48"/>
      <c r="T48" s="48"/>
      <c r="U48" s="48"/>
    </row>
    <row r="49" spans="1:21" ht="30.75" customHeight="1">
      <c r="A49" s="48"/>
      <c r="B49" s="1163"/>
      <c r="C49" s="1164"/>
      <c r="D49" s="62"/>
      <c r="E49" s="1155" t="s">
        <v>16</v>
      </c>
      <c r="F49" s="1155"/>
      <c r="G49" s="1155"/>
      <c r="H49" s="1155"/>
      <c r="I49" s="1155"/>
      <c r="J49" s="1156"/>
      <c r="K49" s="63">
        <v>284</v>
      </c>
      <c r="L49" s="64">
        <v>283</v>
      </c>
      <c r="M49" s="64">
        <v>268</v>
      </c>
      <c r="N49" s="64">
        <v>236</v>
      </c>
      <c r="O49" s="65">
        <v>265</v>
      </c>
      <c r="P49" s="48"/>
      <c r="Q49" s="48"/>
      <c r="R49" s="48"/>
      <c r="S49" s="48"/>
      <c r="T49" s="48"/>
      <c r="U49" s="48"/>
    </row>
    <row r="50" spans="1:21" ht="30.75" customHeight="1">
      <c r="A50" s="48"/>
      <c r="B50" s="1163"/>
      <c r="C50" s="1164"/>
      <c r="D50" s="62"/>
      <c r="E50" s="1155" t="s">
        <v>17</v>
      </c>
      <c r="F50" s="1155"/>
      <c r="G50" s="1155"/>
      <c r="H50" s="1155"/>
      <c r="I50" s="1155"/>
      <c r="J50" s="1156"/>
      <c r="K50" s="63">
        <v>353</v>
      </c>
      <c r="L50" s="64">
        <v>38</v>
      </c>
      <c r="M50" s="64">
        <v>42</v>
      </c>
      <c r="N50" s="64">
        <v>63</v>
      </c>
      <c r="O50" s="65">
        <v>64</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2739</v>
      </c>
      <c r="L52" s="64">
        <v>2851</v>
      </c>
      <c r="M52" s="64">
        <v>2844</v>
      </c>
      <c r="N52" s="64">
        <v>2863</v>
      </c>
      <c r="O52" s="65">
        <v>3008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774</v>
      </c>
      <c r="L53" s="69">
        <v>241</v>
      </c>
      <c r="M53" s="69">
        <v>191</v>
      </c>
      <c r="N53" s="69">
        <v>165</v>
      </c>
      <c r="O53" s="70">
        <v>146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2016-04-21T02:52:38Z</cp:lastPrinted>
  <dcterms:created xsi:type="dcterms:W3CDTF">2016-02-15T01:42:17Z</dcterms:created>
  <dcterms:modified xsi:type="dcterms:W3CDTF">2016-04-26T08:37:55Z</dcterms:modified>
  <cp:category/>
</cp:coreProperties>
</file>